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65416" yWindow="65416" windowWidth="20730" windowHeight="11160" tabRatio="682" firstSheet="1" activeTab="1"/>
  </bookViews>
  <sheets>
    <sheet name="Composições" sheetId="18" state="hidden" r:id="rId1"/>
    <sheet name="CRONOGRAMA " sheetId="19" r:id="rId2"/>
    <sheet name="MEMORIAL DE CÁLCULO" sheetId="22" r:id="rId3"/>
    <sheet name="ORÇAMENTO" sheetId="17" r:id="rId4"/>
    <sheet name="COMPOSIÇÕES DE PREÇOS UNIT." sheetId="24" r:id="rId5"/>
    <sheet name="MEMÓRIA DE CÁLCULO ALTERADA" sheetId="25" state="hidden" r:id="rId6"/>
    <sheet name="PLANILHA VENCEDORA ATUALIZADA" sheetId="26" state="hidden" r:id="rId7"/>
    <sheet name="COMPOSIÇÃO" sheetId="23" state="hidden" r:id="rId8"/>
    <sheet name="BOLETIM DE MEDIÇÃO 01" sheetId="21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MDO1">'[1]INSUMOS'!$C$8</definedName>
    <definedName name="__________MDO2">'[2]INSUMOS'!$C$6</definedName>
    <definedName name="__________R" localSheetId="5">#REF!</definedName>
    <definedName name="__________R" localSheetId="6">#REF!</definedName>
    <definedName name="__________R">#REF!</definedName>
    <definedName name="_________MDO1">'[1]INSUMOS'!$C$8</definedName>
    <definedName name="_________MDO2">'[2]INSUMOS'!$C$6</definedName>
    <definedName name="_________R" localSheetId="5">#REF!</definedName>
    <definedName name="_________R" localSheetId="6">#REF!</definedName>
    <definedName name="_________R">#REF!</definedName>
    <definedName name="________MDO1">'[1]INSUMOS'!$C$8</definedName>
    <definedName name="________MDO2">'[2]INSUMOS'!$C$6</definedName>
    <definedName name="________R" localSheetId="5">#REF!</definedName>
    <definedName name="________R" localSheetId="6">#REF!</definedName>
    <definedName name="________R">#REF!</definedName>
    <definedName name="_______MDO1">'[1]INSUMOS'!$C$8</definedName>
    <definedName name="_______MDO2">'[2]INSUMOS'!$C$6</definedName>
    <definedName name="_______R" localSheetId="5">#REF!</definedName>
    <definedName name="_______R" localSheetId="6">#REF!</definedName>
    <definedName name="_______R">#REF!</definedName>
    <definedName name="______MDO1">'[1]INSUMOS'!$C$8</definedName>
    <definedName name="______MDO2">'[2]INSUMOS'!$C$6</definedName>
    <definedName name="______R" localSheetId="5">#REF!</definedName>
    <definedName name="______R" localSheetId="6">#REF!</definedName>
    <definedName name="______R">#REF!</definedName>
    <definedName name="_____MDO1">'[1]INSUMOS'!$C$8</definedName>
    <definedName name="_____MDO2">'[2]INSUMOS'!$C$6</definedName>
    <definedName name="_____R" localSheetId="5">#REF!</definedName>
    <definedName name="_____R" localSheetId="6">#REF!</definedName>
    <definedName name="_____R">#REF!</definedName>
    <definedName name="____MDO1">'[1]INSUMOS'!$C$8</definedName>
    <definedName name="____MDO2">'[2]INSUMOS'!$C$6</definedName>
    <definedName name="____R" localSheetId="5">#REF!</definedName>
    <definedName name="____R" localSheetId="6">#REF!</definedName>
    <definedName name="____R">#REF!</definedName>
    <definedName name="___MDO1">'[1]INSUMOS'!$C$8</definedName>
    <definedName name="___MDO2">'[2]INSUMOS'!$C$6</definedName>
    <definedName name="___R" localSheetId="4">#REF!</definedName>
    <definedName name="___R" localSheetId="5">#REF!</definedName>
    <definedName name="___R" localSheetId="6">#REF!</definedName>
    <definedName name="___R">#REF!</definedName>
    <definedName name="__MDO1" localSheetId="4">'[3]INSUMOS'!$C$8</definedName>
    <definedName name="__MDO1" localSheetId="5">'[3]INSUMOS'!$C$8</definedName>
    <definedName name="__MDO1" localSheetId="6">'[3]INSUMOS'!$C$8</definedName>
    <definedName name="__MDO1">'[1]INSUMOS'!$C$8</definedName>
    <definedName name="__MDO2">'[2]INSUMOS'!$C$6</definedName>
    <definedName name="__R" localSheetId="8">#REF!</definedName>
    <definedName name="__R" localSheetId="0">#REF!</definedName>
    <definedName name="__R" localSheetId="4">#REF!</definedName>
    <definedName name="__R" localSheetId="1">#REF!</definedName>
    <definedName name="__R" localSheetId="5">#REF!</definedName>
    <definedName name="__R" localSheetId="2">#REF!</definedName>
    <definedName name="__R" localSheetId="6">#REF!</definedName>
    <definedName name="__R">#REF!</definedName>
    <definedName name="__xlnm.Print_Titles_2" localSheetId="4">#REF!</definedName>
    <definedName name="__xlnm.Print_Titles_2" localSheetId="5">#REF!</definedName>
    <definedName name="__xlnm.Print_Titles_2" localSheetId="6">#REF!</definedName>
    <definedName name="__xlnm.Print_Titles_2">#REF!</definedName>
    <definedName name="_Key1" localSheetId="5" hidden="1">#REF!</definedName>
    <definedName name="_Key1" localSheetId="6" hidden="1">#REF!</definedName>
    <definedName name="_Key1" hidden="1">#REF!</definedName>
    <definedName name="_MDO1" localSheetId="7">'[5]INSUMOS'!$C$8</definedName>
    <definedName name="_MDO1" localSheetId="4">'[6]INSUMOS'!$C$8</definedName>
    <definedName name="_MDO1" localSheetId="5">'[6]INSUMOS'!$C$8</definedName>
    <definedName name="_MDO1" localSheetId="2">'[1]INSUMOS'!$C$8</definedName>
    <definedName name="_MDO1" localSheetId="6">'[6]INSUMOS'!$C$8</definedName>
    <definedName name="_MDO1">'[7]INSUMOS'!$C$8</definedName>
    <definedName name="_MDO2" localSheetId="7">'[5]INSUMOS'!$C$9</definedName>
    <definedName name="_MDO2">'[2]INSUMOS'!$C$6</definedName>
    <definedName name="_Order1" hidden="1">255</definedName>
    <definedName name="_R" localSheetId="8">#REF!</definedName>
    <definedName name="_R" localSheetId="4">#REF!</definedName>
    <definedName name="_R" localSheetId="5">#REF!</definedName>
    <definedName name="_R" localSheetId="2">#REF!</definedName>
    <definedName name="_R" localSheetId="6">#REF!</definedName>
    <definedName name="_R">#REF!</definedName>
    <definedName name="_Sort" localSheetId="5" hidden="1">#REF!</definedName>
    <definedName name="_Sort" localSheetId="6" hidden="1">#REF!</definedName>
    <definedName name="_Sort" hidden="1">#REF!</definedName>
    <definedName name="A">#REF!</definedName>
    <definedName name="AA" localSheetId="4">#REF!</definedName>
    <definedName name="AA" localSheetId="5">#REF!</definedName>
    <definedName name="AA" localSheetId="6">#REF!</definedName>
    <definedName name="AA">#REF!</definedName>
    <definedName name="AAA" localSheetId="4">#REF!</definedName>
    <definedName name="AAA" localSheetId="5">#REF!</definedName>
    <definedName name="AAA" localSheetId="6">#REF!</definedName>
    <definedName name="AAA">#REF!</definedName>
    <definedName name="Ac" localSheetId="8">#REF!</definedName>
    <definedName name="Ac" localSheetId="7">#REF!</definedName>
    <definedName name="Ac" localSheetId="4">#REF!</definedName>
    <definedName name="Ac" localSheetId="5">#REF!</definedName>
    <definedName name="Ac" localSheetId="2">#REF!</definedName>
    <definedName name="Ac" localSheetId="6">#REF!</definedName>
    <definedName name="Ac">#REF!</definedName>
    <definedName name="_xlnm.Print_Area" localSheetId="8">'BOLETIM DE MEDIÇÃO 01'!$A$1:$I$48</definedName>
    <definedName name="_xlnm.Print_Area" localSheetId="7">'COMPOSIÇÃO'!$B$2:$G$38</definedName>
    <definedName name="_xlnm.Print_Area" localSheetId="0">'Composições'!$A$1:$G$152</definedName>
    <definedName name="_xlnm.Print_Area" localSheetId="4">'COMPOSIÇÕES DE PREÇOS UNIT.'!$A$1:$G$329</definedName>
    <definedName name="_xlnm.Print_Area" localSheetId="1">'CRONOGRAMA '!$A$1:$E$31</definedName>
    <definedName name="_xlnm.Print_Area" localSheetId="5">'MEMÓRIA DE CÁLCULO ALTERADA'!$A$1:$E$93</definedName>
    <definedName name="_xlnm.Print_Area" localSheetId="2">'MEMORIAL DE CÁLCULO'!$A$1:$G$50</definedName>
    <definedName name="_xlnm.Print_Area" localSheetId="3">'ORÇAMENTO'!$A$1:$G$49</definedName>
    <definedName name="_xlnm.Print_Area" localSheetId="6">'PLANILHA VENCEDORA ATUALIZADA'!$A$1:$G$90</definedName>
    <definedName name="ASDFASDFAS">#REF!</definedName>
    <definedName name="BB" localSheetId="4">#REF!</definedName>
    <definedName name="BB" localSheetId="5">#REF!</definedName>
    <definedName name="BB" localSheetId="6">#REF!</definedName>
    <definedName name="BB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DI" localSheetId="8">#REF!</definedName>
    <definedName name="BDI" localSheetId="7">#REF!</definedName>
    <definedName name="BDI" localSheetId="0">#REF!</definedName>
    <definedName name="BDI" localSheetId="4">#REF!</definedName>
    <definedName name="BDI" localSheetId="1">#REF!</definedName>
    <definedName name="BDI" localSheetId="5">#REF!</definedName>
    <definedName name="BDI" localSheetId="2">#REF!</definedName>
    <definedName name="BDI" localSheetId="6">#REF!</definedName>
    <definedName name="BDI">#REF!</definedName>
    <definedName name="BDIc" localSheetId="8">#REF!</definedName>
    <definedName name="BDIc" localSheetId="7">#REF!</definedName>
    <definedName name="BDIc" localSheetId="0">#REF!</definedName>
    <definedName name="BDIc" localSheetId="4">#REF!</definedName>
    <definedName name="BDIc" localSheetId="1">#REF!</definedName>
    <definedName name="BDIc" localSheetId="5">#REF!</definedName>
    <definedName name="BDIc" localSheetId="2">#REF!</definedName>
    <definedName name="BDIc" localSheetId="6">#REF!</definedName>
    <definedName name="BDIc">#REF!</definedName>
    <definedName name="BDIf" localSheetId="8">#REF!</definedName>
    <definedName name="BDIf" localSheetId="7">#REF!</definedName>
    <definedName name="BDIf" localSheetId="0">#REF!</definedName>
    <definedName name="BDIf" localSheetId="4">#REF!</definedName>
    <definedName name="BDIf" localSheetId="1">#REF!</definedName>
    <definedName name="BDIf" localSheetId="5">#REF!</definedName>
    <definedName name="BDIf" localSheetId="2">#REF!</definedName>
    <definedName name="BDIf" localSheetId="6">#REF!</definedName>
    <definedName name="BDIf">#REF!</definedName>
    <definedName name="BEDI" localSheetId="5">#REF!</definedName>
    <definedName name="BEDI" localSheetId="6">#REF!</definedName>
    <definedName name="BEDI">#REF!</definedName>
    <definedName name="CC" localSheetId="4">#REF!</definedName>
    <definedName name="CC" localSheetId="5">#REF!</definedName>
    <definedName name="CC" localSheetId="6">#REF!</definedName>
    <definedName name="CC">#REF!</definedName>
    <definedName name="CCC" localSheetId="4">#REF!</definedName>
    <definedName name="CCC" localSheetId="5">#REF!</definedName>
    <definedName name="CCC" localSheetId="6">#REF!</definedName>
    <definedName name="CCC">#REF!</definedName>
    <definedName name="Cmat" localSheetId="5">#REF!</definedName>
    <definedName name="Cmat" localSheetId="6">#REF!</definedName>
    <definedName name="Cmat">#REF!</definedName>
    <definedName name="Cmo" localSheetId="5">#REF!</definedName>
    <definedName name="Cmo" localSheetId="6">#REF!</definedName>
    <definedName name="Cmo">#REF!</definedName>
    <definedName name="DD" localSheetId="4">#REF!</definedName>
    <definedName name="DD" localSheetId="5">#REF!</definedName>
    <definedName name="DD" localSheetId="6">#REF!</definedName>
    <definedName name="DD">#REF!</definedName>
    <definedName name="DDD" localSheetId="4">#REF!</definedName>
    <definedName name="DDD" localSheetId="5">#REF!</definedName>
    <definedName name="DDD" localSheetId="6">#REF!</definedName>
    <definedName name="DDD">#REF!</definedName>
    <definedName name="Df" localSheetId="8">#REF!</definedName>
    <definedName name="Df" localSheetId="7">#REF!</definedName>
    <definedName name="Df" localSheetId="4">#REF!</definedName>
    <definedName name="Df" localSheetId="5">#REF!</definedName>
    <definedName name="Df" localSheetId="6">#REF!</definedName>
    <definedName name="Df">#REF!</definedName>
    <definedName name="dsd" localSheetId="5">#REF!</definedName>
    <definedName name="dsd" localSheetId="6">#REF!</definedName>
    <definedName name="dsd">#REF!</definedName>
    <definedName name="E" localSheetId="8">#REF!</definedName>
    <definedName name="E" localSheetId="7">#REF!</definedName>
    <definedName name="E" localSheetId="4">#REF!</definedName>
    <definedName name="E" localSheetId="5">#REF!</definedName>
    <definedName name="E" localSheetId="6">#REF!</definedName>
    <definedName name="E">#REF!</definedName>
    <definedName name="EE" localSheetId="4">#REF!</definedName>
    <definedName name="EE" localSheetId="5">#REF!</definedName>
    <definedName name="EE" localSheetId="6">#REF!</definedName>
    <definedName name="EE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xcel_BuiltIn_Print_Titles_2_1" localSheetId="4">#REF!</definedName>
    <definedName name="Excel_BuiltIn_Print_Titles_2_1" localSheetId="5">#REF!</definedName>
    <definedName name="Excel_BuiltIn_Print_Titles_2_1" localSheetId="6">#REF!</definedName>
    <definedName name="Excel_BuiltIn_Print_Titles_2_1">#REF!</definedName>
    <definedName name="Excel_BuiltIn_Print_Titles_8" localSheetId="4">#REF!</definedName>
    <definedName name="Excel_BuiltIn_Print_Titles_8" localSheetId="5">#REF!</definedName>
    <definedName name="Excel_BuiltIn_Print_Titles_8" localSheetId="2">#REF!</definedName>
    <definedName name="Excel_BuiltIn_Print_Titles_8" localSheetId="6">#REF!</definedName>
    <definedName name="Excel_BuiltIn_Print_Titles_8">#REF!</definedName>
    <definedName name="Fd" localSheetId="8">#REF!</definedName>
    <definedName name="Fd" localSheetId="7">#REF!</definedName>
    <definedName name="Fd" localSheetId="0">#REF!</definedName>
    <definedName name="Fd" localSheetId="4">#REF!</definedName>
    <definedName name="Fd" localSheetId="1">#REF!</definedName>
    <definedName name="Fd" localSheetId="5">#REF!</definedName>
    <definedName name="Fd" localSheetId="2">#REF!</definedName>
    <definedName name="Fd" localSheetId="6">#REF!</definedName>
    <definedName name="Fd">#REF!</definedName>
    <definedName name="FF" localSheetId="4">#REF!</definedName>
    <definedName name="FF" localSheetId="5">#REF!</definedName>
    <definedName name="FF" localSheetId="6">#REF!</definedName>
    <definedName name="FF">#REF!</definedName>
    <definedName name="FFF" localSheetId="4">#REF!</definedName>
    <definedName name="FFF" localSheetId="5">#REF!</definedName>
    <definedName name="FFF" localSheetId="6">#REF!</definedName>
    <definedName name="FFF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II" localSheetId="4">#REF!</definedName>
    <definedName name="II" localSheetId="5">#REF!</definedName>
    <definedName name="II" localSheetId="6">#REF!</definedName>
    <definedName name="II">#REF!</definedName>
    <definedName name="III" localSheetId="4">#REF!</definedName>
    <definedName name="III" localSheetId="5">#REF!</definedName>
    <definedName name="III" localSheetId="6">#REF!</definedName>
    <definedName name="III">#REF!</definedName>
    <definedName name="Im" localSheetId="8">#REF!</definedName>
    <definedName name="Im" localSheetId="7">#REF!</definedName>
    <definedName name="Im" localSheetId="0">#REF!</definedName>
    <definedName name="Im" localSheetId="4">#REF!</definedName>
    <definedName name="Im" localSheetId="1">#REF!</definedName>
    <definedName name="Im" localSheetId="5">#REF!</definedName>
    <definedName name="Im" localSheetId="2">#REF!</definedName>
    <definedName name="Im" localSheetId="6">#REF!</definedName>
    <definedName name="Im">#REF!</definedName>
    <definedName name="Io" localSheetId="8">#REF!</definedName>
    <definedName name="Io" localSheetId="7">#REF!</definedName>
    <definedName name="Io" localSheetId="0">#REF!</definedName>
    <definedName name="Io" localSheetId="4">#REF!</definedName>
    <definedName name="Io" localSheetId="1">#REF!</definedName>
    <definedName name="Io" localSheetId="5">#REF!</definedName>
    <definedName name="Io" localSheetId="2">#REF!</definedName>
    <definedName name="Io" localSheetId="6">#REF!</definedName>
    <definedName name="Io">#REF!</definedName>
    <definedName name="ISS" localSheetId="8">#REF!</definedName>
    <definedName name="ISS" localSheetId="7">#REF!</definedName>
    <definedName name="ISS" localSheetId="4">#REF!</definedName>
    <definedName name="ISS" localSheetId="5">#REF!</definedName>
    <definedName name="ISS" localSheetId="6">#REF!</definedName>
    <definedName name="ISS">#REF!</definedName>
    <definedName name="IT" localSheetId="8">#REF!</definedName>
    <definedName name="IT" localSheetId="7">#REF!</definedName>
    <definedName name="IT" localSheetId="4">#REF!</definedName>
    <definedName name="IT" localSheetId="5">#REF!</definedName>
    <definedName name="IT" localSheetId="6">#REF!</definedName>
    <definedName name="IT">#REF!</definedName>
    <definedName name="item1.1" localSheetId="8">#REF!</definedName>
    <definedName name="item1.1" localSheetId="7">#REF!</definedName>
    <definedName name="item1.1" localSheetId="4">#REF!</definedName>
    <definedName name="item1.1" localSheetId="5">#REF!</definedName>
    <definedName name="item1.1" localSheetId="2">#REF!</definedName>
    <definedName name="item1.1" localSheetId="6">#REF!</definedName>
    <definedName name="item1.1">#REF!</definedName>
    <definedName name="item1.2" localSheetId="8">#REF!</definedName>
    <definedName name="item1.2" localSheetId="7">#REF!</definedName>
    <definedName name="item1.2" localSheetId="4">#REF!</definedName>
    <definedName name="item1.2" localSheetId="5">#REF!</definedName>
    <definedName name="item1.2" localSheetId="2">#REF!</definedName>
    <definedName name="item1.2" localSheetId="6">#REF!</definedName>
    <definedName name="item1.2">#REF!</definedName>
    <definedName name="item1.3" localSheetId="8">#REF!</definedName>
    <definedName name="item1.3" localSheetId="7">#REF!</definedName>
    <definedName name="item1.3" localSheetId="4">#REF!</definedName>
    <definedName name="item1.3" localSheetId="5">#REF!</definedName>
    <definedName name="item1.3" localSheetId="2">#REF!</definedName>
    <definedName name="item1.3" localSheetId="6">#REF!</definedName>
    <definedName name="item1.3">#REF!</definedName>
    <definedName name="item1.4" localSheetId="8">#REF!</definedName>
    <definedName name="item1.4" localSheetId="7">#REF!</definedName>
    <definedName name="item1.4" localSheetId="4">#REF!</definedName>
    <definedName name="item1.4" localSheetId="5">#REF!</definedName>
    <definedName name="item1.4" localSheetId="2">#REF!</definedName>
    <definedName name="item1.4" localSheetId="6">#REF!</definedName>
    <definedName name="item1.4">#REF!</definedName>
    <definedName name="item1.5" localSheetId="8">#REF!</definedName>
    <definedName name="item1.5" localSheetId="7">#REF!</definedName>
    <definedName name="item1.5" localSheetId="4">#REF!</definedName>
    <definedName name="item1.5" localSheetId="5">#REF!</definedName>
    <definedName name="item1.5" localSheetId="2">#REF!</definedName>
    <definedName name="item1.5" localSheetId="6">#REF!</definedName>
    <definedName name="item1.5">#REF!</definedName>
    <definedName name="item1.6" localSheetId="8">#REF!</definedName>
    <definedName name="item1.6" localSheetId="7">#REF!</definedName>
    <definedName name="item1.6" localSheetId="4">#REF!</definedName>
    <definedName name="item1.6" localSheetId="5">#REF!</definedName>
    <definedName name="item1.6" localSheetId="2">#REF!</definedName>
    <definedName name="item1.6" localSheetId="6">#REF!</definedName>
    <definedName name="item1.6">#REF!</definedName>
    <definedName name="item10.1" localSheetId="8">#REF!</definedName>
    <definedName name="item10.1" localSheetId="7">#REF!</definedName>
    <definedName name="item10.1" localSheetId="4">#REF!</definedName>
    <definedName name="item10.1" localSheetId="5">#REF!</definedName>
    <definedName name="item10.1" localSheetId="2">#REF!</definedName>
    <definedName name="item10.1" localSheetId="6">#REF!</definedName>
    <definedName name="item10.1">#REF!</definedName>
    <definedName name="item10.10" localSheetId="8">#REF!</definedName>
    <definedName name="item10.10" localSheetId="7">#REF!</definedName>
    <definedName name="item10.10" localSheetId="4">#REF!</definedName>
    <definedName name="item10.10" localSheetId="5">#REF!</definedName>
    <definedName name="item10.10" localSheetId="2">#REF!</definedName>
    <definedName name="item10.10" localSheetId="6">#REF!</definedName>
    <definedName name="item10.10">#REF!</definedName>
    <definedName name="item10.11" localSheetId="8">#REF!</definedName>
    <definedName name="item10.11" localSheetId="7">#REF!</definedName>
    <definedName name="item10.11" localSheetId="4">#REF!</definedName>
    <definedName name="item10.11" localSheetId="5">#REF!</definedName>
    <definedName name="item10.11" localSheetId="2">#REF!</definedName>
    <definedName name="item10.11" localSheetId="6">#REF!</definedName>
    <definedName name="item10.11">#REF!</definedName>
    <definedName name="item10.12" localSheetId="8">#REF!</definedName>
    <definedName name="item10.12" localSheetId="7">#REF!</definedName>
    <definedName name="item10.12" localSheetId="4">#REF!</definedName>
    <definedName name="item10.12" localSheetId="5">#REF!</definedName>
    <definedName name="item10.12" localSheetId="2">#REF!</definedName>
    <definedName name="item10.12" localSheetId="6">#REF!</definedName>
    <definedName name="item10.12">#REF!</definedName>
    <definedName name="item10.13" localSheetId="8">#REF!</definedName>
    <definedName name="item10.13" localSheetId="7">#REF!</definedName>
    <definedName name="item10.13" localSheetId="4">#REF!</definedName>
    <definedName name="item10.13" localSheetId="5">#REF!</definedName>
    <definedName name="item10.13" localSheetId="2">#REF!</definedName>
    <definedName name="item10.13" localSheetId="6">#REF!</definedName>
    <definedName name="item10.13">#REF!</definedName>
    <definedName name="item10.14" localSheetId="8">#REF!</definedName>
    <definedName name="item10.14" localSheetId="7">#REF!</definedName>
    <definedName name="item10.14" localSheetId="4">#REF!</definedName>
    <definedName name="item10.14" localSheetId="5">#REF!</definedName>
    <definedName name="item10.14" localSheetId="2">#REF!</definedName>
    <definedName name="item10.14" localSheetId="6">#REF!</definedName>
    <definedName name="item10.14">#REF!</definedName>
    <definedName name="item10.15" localSheetId="8">#REF!</definedName>
    <definedName name="item10.15" localSheetId="7">#REF!</definedName>
    <definedName name="item10.15" localSheetId="4">#REF!</definedName>
    <definedName name="item10.15" localSheetId="5">#REF!</definedName>
    <definedName name="item10.15" localSheetId="2">#REF!</definedName>
    <definedName name="item10.15" localSheetId="6">#REF!</definedName>
    <definedName name="item10.15">#REF!</definedName>
    <definedName name="item10.16" localSheetId="8">#REF!</definedName>
    <definedName name="item10.16" localSheetId="7">#REF!</definedName>
    <definedName name="item10.16" localSheetId="4">#REF!</definedName>
    <definedName name="item10.16" localSheetId="5">#REF!</definedName>
    <definedName name="item10.16" localSheetId="2">#REF!</definedName>
    <definedName name="item10.16" localSheetId="6">#REF!</definedName>
    <definedName name="item10.16">#REF!</definedName>
    <definedName name="item10.17" localSheetId="8">#REF!</definedName>
    <definedName name="item10.17" localSheetId="7">#REF!</definedName>
    <definedName name="item10.17" localSheetId="4">#REF!</definedName>
    <definedName name="item10.17" localSheetId="5">#REF!</definedName>
    <definedName name="item10.17" localSheetId="2">#REF!</definedName>
    <definedName name="item10.17" localSheetId="6">#REF!</definedName>
    <definedName name="item10.17">#REF!</definedName>
    <definedName name="item10.18" localSheetId="8">#REF!</definedName>
    <definedName name="item10.18" localSheetId="7">#REF!</definedName>
    <definedName name="item10.18" localSheetId="4">#REF!</definedName>
    <definedName name="item10.18" localSheetId="5">#REF!</definedName>
    <definedName name="item10.18" localSheetId="2">#REF!</definedName>
    <definedName name="item10.18" localSheetId="6">#REF!</definedName>
    <definedName name="item10.18">#REF!</definedName>
    <definedName name="item10.19" localSheetId="8">#REF!</definedName>
    <definedName name="item10.19" localSheetId="7">#REF!</definedName>
    <definedName name="item10.19" localSheetId="4">#REF!</definedName>
    <definedName name="item10.19" localSheetId="5">#REF!</definedName>
    <definedName name="item10.19" localSheetId="2">#REF!</definedName>
    <definedName name="item10.19" localSheetId="6">#REF!</definedName>
    <definedName name="item10.19">#REF!</definedName>
    <definedName name="item10.2" localSheetId="8">#REF!</definedName>
    <definedName name="item10.2" localSheetId="7">#REF!</definedName>
    <definedName name="item10.2" localSheetId="4">#REF!</definedName>
    <definedName name="item10.2" localSheetId="5">#REF!</definedName>
    <definedName name="item10.2" localSheetId="2">#REF!</definedName>
    <definedName name="item10.2" localSheetId="6">#REF!</definedName>
    <definedName name="item10.2">#REF!</definedName>
    <definedName name="item10.3" localSheetId="8">#REF!</definedName>
    <definedName name="item10.3" localSheetId="7">#REF!</definedName>
    <definedName name="item10.3" localSheetId="4">#REF!</definedName>
    <definedName name="item10.3" localSheetId="5">#REF!</definedName>
    <definedName name="item10.3" localSheetId="2">#REF!</definedName>
    <definedName name="item10.3" localSheetId="6">#REF!</definedName>
    <definedName name="item10.3">#REF!</definedName>
    <definedName name="item10.4" localSheetId="8">#REF!</definedName>
    <definedName name="item10.4" localSheetId="7">#REF!</definedName>
    <definedName name="item10.4" localSheetId="4">#REF!</definedName>
    <definedName name="item10.4" localSheetId="5">#REF!</definedName>
    <definedName name="item10.4" localSheetId="2">#REF!</definedName>
    <definedName name="item10.4" localSheetId="6">#REF!</definedName>
    <definedName name="item10.4">#REF!</definedName>
    <definedName name="item10.5" localSheetId="8">#REF!</definedName>
    <definedName name="item10.5" localSheetId="7">#REF!</definedName>
    <definedName name="item10.5" localSheetId="4">#REF!</definedName>
    <definedName name="item10.5" localSheetId="5">#REF!</definedName>
    <definedName name="item10.5" localSheetId="2">#REF!</definedName>
    <definedName name="item10.5" localSheetId="6">#REF!</definedName>
    <definedName name="item10.5">#REF!</definedName>
    <definedName name="item10.6" localSheetId="8">#REF!</definedName>
    <definedName name="item10.6" localSheetId="7">#REF!</definedName>
    <definedName name="item10.6" localSheetId="4">#REF!</definedName>
    <definedName name="item10.6" localSheetId="5">#REF!</definedName>
    <definedName name="item10.6" localSheetId="2">#REF!</definedName>
    <definedName name="item10.6" localSheetId="6">#REF!</definedName>
    <definedName name="item10.6">#REF!</definedName>
    <definedName name="item10.7" localSheetId="8">#REF!</definedName>
    <definedName name="item10.7" localSheetId="7">#REF!</definedName>
    <definedName name="item10.7" localSheetId="4">#REF!</definedName>
    <definedName name="item10.7" localSheetId="5">#REF!</definedName>
    <definedName name="item10.7" localSheetId="2">#REF!</definedName>
    <definedName name="item10.7" localSheetId="6">#REF!</definedName>
    <definedName name="item10.7">#REF!</definedName>
    <definedName name="item10.8" localSheetId="8">#REF!</definedName>
    <definedName name="item10.8" localSheetId="7">#REF!</definedName>
    <definedName name="item10.8" localSheetId="4">#REF!</definedName>
    <definedName name="item10.8" localSheetId="5">#REF!</definedName>
    <definedName name="item10.8" localSheetId="2">#REF!</definedName>
    <definedName name="item10.8" localSheetId="6">#REF!</definedName>
    <definedName name="item10.8">#REF!</definedName>
    <definedName name="item10.9" localSheetId="8">#REF!</definedName>
    <definedName name="item10.9" localSheetId="7">#REF!</definedName>
    <definedName name="item10.9" localSheetId="4">#REF!</definedName>
    <definedName name="item10.9" localSheetId="5">#REF!</definedName>
    <definedName name="item10.9" localSheetId="2">#REF!</definedName>
    <definedName name="item10.9" localSheetId="6">#REF!</definedName>
    <definedName name="item10.9">#REF!</definedName>
    <definedName name="item11.1" localSheetId="8">#REF!</definedName>
    <definedName name="item11.1" localSheetId="7">#REF!</definedName>
    <definedName name="item11.1" localSheetId="4">#REF!</definedName>
    <definedName name="item11.1" localSheetId="5">#REF!</definedName>
    <definedName name="item11.1" localSheetId="2">#REF!</definedName>
    <definedName name="item11.1" localSheetId="6">#REF!</definedName>
    <definedName name="item11.1">#REF!</definedName>
    <definedName name="item11.10" localSheetId="8">#REF!</definedName>
    <definedName name="item11.10" localSheetId="7">#REF!</definedName>
    <definedName name="item11.10" localSheetId="4">#REF!</definedName>
    <definedName name="item11.10" localSheetId="5">#REF!</definedName>
    <definedName name="item11.10" localSheetId="2">#REF!</definedName>
    <definedName name="item11.10" localSheetId="6">#REF!</definedName>
    <definedName name="item11.10">#REF!</definedName>
    <definedName name="item11.11" localSheetId="8">#REF!</definedName>
    <definedName name="item11.11" localSheetId="7">#REF!</definedName>
    <definedName name="item11.11" localSheetId="4">#REF!</definedName>
    <definedName name="item11.11" localSheetId="5">#REF!</definedName>
    <definedName name="item11.11" localSheetId="2">#REF!</definedName>
    <definedName name="item11.11" localSheetId="6">#REF!</definedName>
    <definedName name="item11.11">#REF!</definedName>
    <definedName name="item11.12" localSheetId="8">#REF!</definedName>
    <definedName name="item11.12" localSheetId="7">#REF!</definedName>
    <definedName name="item11.12" localSheetId="4">#REF!</definedName>
    <definedName name="item11.12" localSheetId="5">#REF!</definedName>
    <definedName name="item11.12" localSheetId="2">#REF!</definedName>
    <definedName name="item11.12" localSheetId="6">#REF!</definedName>
    <definedName name="item11.12">#REF!</definedName>
    <definedName name="item11.13" localSheetId="8">#REF!</definedName>
    <definedName name="item11.13" localSheetId="7">#REF!</definedName>
    <definedName name="item11.13" localSheetId="4">#REF!</definedName>
    <definedName name="item11.13" localSheetId="5">#REF!</definedName>
    <definedName name="item11.13" localSheetId="2">#REF!</definedName>
    <definedName name="item11.13" localSheetId="6">#REF!</definedName>
    <definedName name="item11.13">#REF!</definedName>
    <definedName name="item11.14" localSheetId="8">#REF!</definedName>
    <definedName name="item11.14" localSheetId="7">#REF!</definedName>
    <definedName name="item11.14" localSheetId="4">#REF!</definedName>
    <definedName name="item11.14" localSheetId="5">#REF!</definedName>
    <definedName name="item11.14" localSheetId="2">#REF!</definedName>
    <definedName name="item11.14" localSheetId="6">#REF!</definedName>
    <definedName name="item11.14">#REF!</definedName>
    <definedName name="item11.15" localSheetId="8">#REF!</definedName>
    <definedName name="item11.15" localSheetId="7">#REF!</definedName>
    <definedName name="item11.15" localSheetId="4">#REF!</definedName>
    <definedName name="item11.15" localSheetId="5">#REF!</definedName>
    <definedName name="item11.15" localSheetId="2">#REF!</definedName>
    <definedName name="item11.15" localSheetId="6">#REF!</definedName>
    <definedName name="item11.15">#REF!</definedName>
    <definedName name="item11.16" localSheetId="8">#REF!</definedName>
    <definedName name="item11.16" localSheetId="7">#REF!</definedName>
    <definedName name="item11.16" localSheetId="4">#REF!</definedName>
    <definedName name="item11.16" localSheetId="5">#REF!</definedName>
    <definedName name="item11.16" localSheetId="2">#REF!</definedName>
    <definedName name="item11.16" localSheetId="6">#REF!</definedName>
    <definedName name="item11.16">#REF!</definedName>
    <definedName name="item11.17" localSheetId="8">#REF!</definedName>
    <definedName name="item11.17" localSheetId="7">#REF!</definedName>
    <definedName name="item11.17" localSheetId="4">#REF!</definedName>
    <definedName name="item11.17" localSheetId="5">#REF!</definedName>
    <definedName name="item11.17" localSheetId="2">#REF!</definedName>
    <definedName name="item11.17" localSheetId="6">#REF!</definedName>
    <definedName name="item11.17">#REF!</definedName>
    <definedName name="item11.18" localSheetId="8">#REF!</definedName>
    <definedName name="item11.18" localSheetId="7">#REF!</definedName>
    <definedName name="item11.18" localSheetId="4">#REF!</definedName>
    <definedName name="item11.18" localSheetId="5">#REF!</definedName>
    <definedName name="item11.18" localSheetId="2">#REF!</definedName>
    <definedName name="item11.18" localSheetId="6">#REF!</definedName>
    <definedName name="item11.18">#REF!</definedName>
    <definedName name="item11.19" localSheetId="8">#REF!</definedName>
    <definedName name="item11.19" localSheetId="7">#REF!</definedName>
    <definedName name="item11.19" localSheetId="4">#REF!</definedName>
    <definedName name="item11.19" localSheetId="5">#REF!</definedName>
    <definedName name="item11.19" localSheetId="2">#REF!</definedName>
    <definedName name="item11.19" localSheetId="6">#REF!</definedName>
    <definedName name="item11.19">#REF!</definedName>
    <definedName name="item11.2" localSheetId="8">#REF!</definedName>
    <definedName name="item11.2" localSheetId="7">#REF!</definedName>
    <definedName name="item11.2" localSheetId="4">#REF!</definedName>
    <definedName name="item11.2" localSheetId="5">#REF!</definedName>
    <definedName name="item11.2" localSheetId="2">#REF!</definedName>
    <definedName name="item11.2" localSheetId="6">#REF!</definedName>
    <definedName name="item11.2">#REF!</definedName>
    <definedName name="item11.20" localSheetId="8">#REF!</definedName>
    <definedName name="item11.20" localSheetId="7">#REF!</definedName>
    <definedName name="item11.20" localSheetId="4">#REF!</definedName>
    <definedName name="item11.20" localSheetId="5">#REF!</definedName>
    <definedName name="item11.20" localSheetId="2">#REF!</definedName>
    <definedName name="item11.20" localSheetId="6">#REF!</definedName>
    <definedName name="item11.20">#REF!</definedName>
    <definedName name="item11.21" localSheetId="8">#REF!</definedName>
    <definedName name="item11.21" localSheetId="7">#REF!</definedName>
    <definedName name="item11.21" localSheetId="4">#REF!</definedName>
    <definedName name="item11.21" localSheetId="5">#REF!</definedName>
    <definedName name="item11.21" localSheetId="2">#REF!</definedName>
    <definedName name="item11.21" localSheetId="6">#REF!</definedName>
    <definedName name="item11.21">#REF!</definedName>
    <definedName name="item11.22" localSheetId="8">#REF!</definedName>
    <definedName name="item11.22" localSheetId="7">#REF!</definedName>
    <definedName name="item11.22" localSheetId="4">#REF!</definedName>
    <definedName name="item11.22" localSheetId="5">#REF!</definedName>
    <definedName name="item11.22" localSheetId="2">#REF!</definedName>
    <definedName name="item11.22" localSheetId="6">#REF!</definedName>
    <definedName name="item11.22">#REF!</definedName>
    <definedName name="item11.23" localSheetId="8">#REF!</definedName>
    <definedName name="item11.23" localSheetId="7">#REF!</definedName>
    <definedName name="item11.23" localSheetId="4">#REF!</definedName>
    <definedName name="item11.23" localSheetId="5">#REF!</definedName>
    <definedName name="item11.23" localSheetId="2">#REF!</definedName>
    <definedName name="item11.23" localSheetId="6">#REF!</definedName>
    <definedName name="item11.23">#REF!</definedName>
    <definedName name="item11.24" localSheetId="8">#REF!</definedName>
    <definedName name="item11.24" localSheetId="7">#REF!</definedName>
    <definedName name="item11.24" localSheetId="4">#REF!</definedName>
    <definedName name="item11.24" localSheetId="5">#REF!</definedName>
    <definedName name="item11.24" localSheetId="2">#REF!</definedName>
    <definedName name="item11.24" localSheetId="6">#REF!</definedName>
    <definedName name="item11.24">#REF!</definedName>
    <definedName name="item11.25" localSheetId="8">#REF!</definedName>
    <definedName name="item11.25" localSheetId="7">#REF!</definedName>
    <definedName name="item11.25" localSheetId="4">#REF!</definedName>
    <definedName name="item11.25" localSheetId="5">#REF!</definedName>
    <definedName name="item11.25" localSheetId="2">#REF!</definedName>
    <definedName name="item11.25" localSheetId="6">#REF!</definedName>
    <definedName name="item11.25">#REF!</definedName>
    <definedName name="item11.26" localSheetId="8">#REF!</definedName>
    <definedName name="item11.26" localSheetId="7">#REF!</definedName>
    <definedName name="item11.26" localSheetId="4">#REF!</definedName>
    <definedName name="item11.26" localSheetId="5">#REF!</definedName>
    <definedName name="item11.26" localSheetId="2">#REF!</definedName>
    <definedName name="item11.26" localSheetId="6">#REF!</definedName>
    <definedName name="item11.26">#REF!</definedName>
    <definedName name="item11.27" localSheetId="8">#REF!</definedName>
    <definedName name="item11.27" localSheetId="7">#REF!</definedName>
    <definedName name="item11.27" localSheetId="4">#REF!</definedName>
    <definedName name="item11.27" localSheetId="5">#REF!</definedName>
    <definedName name="item11.27" localSheetId="2">#REF!</definedName>
    <definedName name="item11.27" localSheetId="6">#REF!</definedName>
    <definedName name="item11.27">#REF!</definedName>
    <definedName name="item11.28" localSheetId="8">#REF!</definedName>
    <definedName name="item11.28" localSheetId="7">#REF!</definedName>
    <definedName name="item11.28" localSheetId="4">#REF!</definedName>
    <definedName name="item11.28" localSheetId="5">#REF!</definedName>
    <definedName name="item11.28" localSheetId="2">#REF!</definedName>
    <definedName name="item11.28" localSheetId="6">#REF!</definedName>
    <definedName name="item11.28">#REF!</definedName>
    <definedName name="item11.3" localSheetId="8">#REF!</definedName>
    <definedName name="item11.3" localSheetId="7">#REF!</definedName>
    <definedName name="item11.3" localSheetId="4">#REF!</definedName>
    <definedName name="item11.3" localSheetId="5">#REF!</definedName>
    <definedName name="item11.3" localSheetId="2">#REF!</definedName>
    <definedName name="item11.3" localSheetId="6">#REF!</definedName>
    <definedName name="item11.3">#REF!</definedName>
    <definedName name="item11.4" localSheetId="8">#REF!</definedName>
    <definedName name="item11.4" localSheetId="7">#REF!</definedName>
    <definedName name="item11.4" localSheetId="4">#REF!</definedName>
    <definedName name="item11.4" localSheetId="5">#REF!</definedName>
    <definedName name="item11.4" localSheetId="2">#REF!</definedName>
    <definedName name="item11.4" localSheetId="6">#REF!</definedName>
    <definedName name="item11.4">#REF!</definedName>
    <definedName name="item11.5" localSheetId="8">#REF!</definedName>
    <definedName name="item11.5" localSheetId="7">#REF!</definedName>
    <definedName name="item11.5" localSheetId="4">#REF!</definedName>
    <definedName name="item11.5" localSheetId="5">#REF!</definedName>
    <definedName name="item11.5" localSheetId="2">#REF!</definedName>
    <definedName name="item11.5" localSheetId="6">#REF!</definedName>
    <definedName name="item11.5">#REF!</definedName>
    <definedName name="item11.6" localSheetId="8">#REF!</definedName>
    <definedName name="item11.6" localSheetId="7">#REF!</definedName>
    <definedName name="item11.6" localSheetId="4">#REF!</definedName>
    <definedName name="item11.6" localSheetId="5">#REF!</definedName>
    <definedName name="item11.6" localSheetId="2">#REF!</definedName>
    <definedName name="item11.6" localSheetId="6">#REF!</definedName>
    <definedName name="item11.6">#REF!</definedName>
    <definedName name="item11.7" localSheetId="8">#REF!</definedName>
    <definedName name="item11.7" localSheetId="7">#REF!</definedName>
    <definedName name="item11.7" localSheetId="4">#REF!</definedName>
    <definedName name="item11.7" localSheetId="5">#REF!</definedName>
    <definedName name="item11.7" localSheetId="2">#REF!</definedName>
    <definedName name="item11.7" localSheetId="6">#REF!</definedName>
    <definedName name="item11.7">#REF!</definedName>
    <definedName name="item11.8" localSheetId="8">#REF!</definedName>
    <definedName name="item11.8" localSheetId="7">#REF!</definedName>
    <definedName name="item11.8" localSheetId="4">#REF!</definedName>
    <definedName name="item11.8" localSheetId="5">#REF!</definedName>
    <definedName name="item11.8" localSheetId="2">#REF!</definedName>
    <definedName name="item11.8" localSheetId="6">#REF!</definedName>
    <definedName name="item11.8">#REF!</definedName>
    <definedName name="item11.9" localSheetId="8">#REF!</definedName>
    <definedName name="item11.9" localSheetId="7">#REF!</definedName>
    <definedName name="item11.9" localSheetId="4">#REF!</definedName>
    <definedName name="item11.9" localSheetId="5">#REF!</definedName>
    <definedName name="item11.9" localSheetId="2">#REF!</definedName>
    <definedName name="item11.9" localSheetId="6">#REF!</definedName>
    <definedName name="item11.9">#REF!</definedName>
    <definedName name="item12.1" localSheetId="8">#REF!</definedName>
    <definedName name="item12.1" localSheetId="7">#REF!</definedName>
    <definedName name="item12.1" localSheetId="4">#REF!</definedName>
    <definedName name="item12.1" localSheetId="5">#REF!</definedName>
    <definedName name="item12.1" localSheetId="2">#REF!</definedName>
    <definedName name="item12.1" localSheetId="6">#REF!</definedName>
    <definedName name="item12.1">#REF!</definedName>
    <definedName name="item12.10" localSheetId="8">#REF!</definedName>
    <definedName name="item12.10" localSheetId="7">#REF!</definedName>
    <definedName name="item12.10" localSheetId="4">#REF!</definedName>
    <definedName name="item12.10" localSheetId="5">#REF!</definedName>
    <definedName name="item12.10" localSheetId="2">#REF!</definedName>
    <definedName name="item12.10" localSheetId="6">#REF!</definedName>
    <definedName name="item12.10">#REF!</definedName>
    <definedName name="item12.11" localSheetId="8">#REF!</definedName>
    <definedName name="item12.11" localSheetId="7">#REF!</definedName>
    <definedName name="item12.11" localSheetId="4">#REF!</definedName>
    <definedName name="item12.11" localSheetId="5">#REF!</definedName>
    <definedName name="item12.11" localSheetId="2">#REF!</definedName>
    <definedName name="item12.11" localSheetId="6">#REF!</definedName>
    <definedName name="item12.11">#REF!</definedName>
    <definedName name="item12.12" localSheetId="8">#REF!</definedName>
    <definedName name="item12.12" localSheetId="7">#REF!</definedName>
    <definedName name="item12.12" localSheetId="4">#REF!</definedName>
    <definedName name="item12.12" localSheetId="5">#REF!</definedName>
    <definedName name="item12.12" localSheetId="2">#REF!</definedName>
    <definedName name="item12.12" localSheetId="6">#REF!</definedName>
    <definedName name="item12.12">#REF!</definedName>
    <definedName name="item12.13" localSheetId="8">#REF!</definedName>
    <definedName name="item12.13" localSheetId="7">#REF!</definedName>
    <definedName name="item12.13" localSheetId="4">#REF!</definedName>
    <definedName name="item12.13" localSheetId="5">#REF!</definedName>
    <definedName name="item12.13" localSheetId="2">#REF!</definedName>
    <definedName name="item12.13" localSheetId="6">#REF!</definedName>
    <definedName name="item12.13">#REF!</definedName>
    <definedName name="item12.14" localSheetId="8">#REF!</definedName>
    <definedName name="item12.14" localSheetId="7">#REF!</definedName>
    <definedName name="item12.14" localSheetId="4">#REF!</definedName>
    <definedName name="item12.14" localSheetId="5">#REF!</definedName>
    <definedName name="item12.14" localSheetId="2">#REF!</definedName>
    <definedName name="item12.14" localSheetId="6">#REF!</definedName>
    <definedName name="item12.14">#REF!</definedName>
    <definedName name="item12.15" localSheetId="8">#REF!</definedName>
    <definedName name="item12.15" localSheetId="7">#REF!</definedName>
    <definedName name="item12.15" localSheetId="4">#REF!</definedName>
    <definedName name="item12.15" localSheetId="5">#REF!</definedName>
    <definedName name="item12.15" localSheetId="2">#REF!</definedName>
    <definedName name="item12.15" localSheetId="6">#REF!</definedName>
    <definedName name="item12.15">#REF!</definedName>
    <definedName name="item12.16" localSheetId="8">#REF!</definedName>
    <definedName name="item12.16" localSheetId="7">#REF!</definedName>
    <definedName name="item12.16" localSheetId="4">#REF!</definedName>
    <definedName name="item12.16" localSheetId="5">#REF!</definedName>
    <definedName name="item12.16" localSheetId="2">#REF!</definedName>
    <definedName name="item12.16" localSheetId="6">#REF!</definedName>
    <definedName name="item12.16">#REF!</definedName>
    <definedName name="item12.17" localSheetId="8">#REF!</definedName>
    <definedName name="item12.17" localSheetId="7">#REF!</definedName>
    <definedName name="item12.17" localSheetId="4">#REF!</definedName>
    <definedName name="item12.17" localSheetId="5">#REF!</definedName>
    <definedName name="item12.17" localSheetId="2">#REF!</definedName>
    <definedName name="item12.17" localSheetId="6">#REF!</definedName>
    <definedName name="item12.17">#REF!</definedName>
    <definedName name="item12.18" localSheetId="8">#REF!</definedName>
    <definedName name="item12.18" localSheetId="7">#REF!</definedName>
    <definedName name="item12.18" localSheetId="4">#REF!</definedName>
    <definedName name="item12.18" localSheetId="5">#REF!</definedName>
    <definedName name="item12.18" localSheetId="2">#REF!</definedName>
    <definedName name="item12.18" localSheetId="6">#REF!</definedName>
    <definedName name="item12.18">#REF!</definedName>
    <definedName name="item12.19" localSheetId="8">#REF!</definedName>
    <definedName name="item12.19" localSheetId="7">#REF!</definedName>
    <definedName name="item12.19" localSheetId="4">#REF!</definedName>
    <definedName name="item12.19" localSheetId="5">#REF!</definedName>
    <definedName name="item12.19" localSheetId="2">#REF!</definedName>
    <definedName name="item12.19" localSheetId="6">#REF!</definedName>
    <definedName name="item12.19">#REF!</definedName>
    <definedName name="item12.2" localSheetId="8">#REF!</definedName>
    <definedName name="item12.2" localSheetId="7">#REF!</definedName>
    <definedName name="item12.2" localSheetId="4">#REF!</definedName>
    <definedName name="item12.2" localSheetId="5">#REF!</definedName>
    <definedName name="item12.2" localSheetId="2">#REF!</definedName>
    <definedName name="item12.2" localSheetId="6">#REF!</definedName>
    <definedName name="item12.2">#REF!</definedName>
    <definedName name="item12.20" localSheetId="8">#REF!</definedName>
    <definedName name="item12.20" localSheetId="7">#REF!</definedName>
    <definedName name="item12.20" localSheetId="4">#REF!</definedName>
    <definedName name="item12.20" localSheetId="5">#REF!</definedName>
    <definedName name="item12.20" localSheetId="2">#REF!</definedName>
    <definedName name="item12.20" localSheetId="6">#REF!</definedName>
    <definedName name="item12.20">#REF!</definedName>
    <definedName name="item12.21" localSheetId="8">#REF!</definedName>
    <definedName name="item12.21" localSheetId="7">#REF!</definedName>
    <definedName name="item12.21" localSheetId="4">#REF!</definedName>
    <definedName name="item12.21" localSheetId="5">#REF!</definedName>
    <definedName name="item12.21" localSheetId="2">#REF!</definedName>
    <definedName name="item12.21" localSheetId="6">#REF!</definedName>
    <definedName name="item12.21">#REF!</definedName>
    <definedName name="item12.22" localSheetId="8">#REF!</definedName>
    <definedName name="item12.22" localSheetId="7">#REF!</definedName>
    <definedName name="item12.22" localSheetId="4">#REF!</definedName>
    <definedName name="item12.22" localSheetId="5">#REF!</definedName>
    <definedName name="item12.22" localSheetId="2">#REF!</definedName>
    <definedName name="item12.22" localSheetId="6">#REF!</definedName>
    <definedName name="item12.22">#REF!</definedName>
    <definedName name="item12.23" localSheetId="8">#REF!</definedName>
    <definedName name="item12.23" localSheetId="7">#REF!</definedName>
    <definedName name="item12.23" localSheetId="4">#REF!</definedName>
    <definedName name="item12.23" localSheetId="5">#REF!</definedName>
    <definedName name="item12.23" localSheetId="2">#REF!</definedName>
    <definedName name="item12.23" localSheetId="6">#REF!</definedName>
    <definedName name="item12.23">#REF!</definedName>
    <definedName name="item12.24" localSheetId="8">#REF!</definedName>
    <definedName name="item12.24" localSheetId="7">#REF!</definedName>
    <definedName name="item12.24" localSheetId="4">#REF!</definedName>
    <definedName name="item12.24" localSheetId="5">#REF!</definedName>
    <definedName name="item12.24" localSheetId="2">#REF!</definedName>
    <definedName name="item12.24" localSheetId="6">#REF!</definedName>
    <definedName name="item12.24">#REF!</definedName>
    <definedName name="item12.25" localSheetId="8">#REF!</definedName>
    <definedName name="item12.25" localSheetId="7">#REF!</definedName>
    <definedName name="item12.25" localSheetId="4">#REF!</definedName>
    <definedName name="item12.25" localSheetId="5">#REF!</definedName>
    <definedName name="item12.25" localSheetId="2">#REF!</definedName>
    <definedName name="item12.25" localSheetId="6">#REF!</definedName>
    <definedName name="item12.25">#REF!</definedName>
    <definedName name="item12.26" localSheetId="8">#REF!</definedName>
    <definedName name="item12.26" localSheetId="7">#REF!</definedName>
    <definedName name="item12.26" localSheetId="4">#REF!</definedName>
    <definedName name="item12.26" localSheetId="5">#REF!</definedName>
    <definedName name="item12.26" localSheetId="2">#REF!</definedName>
    <definedName name="item12.26" localSheetId="6">#REF!</definedName>
    <definedName name="item12.26">#REF!</definedName>
    <definedName name="item12.27" localSheetId="8">#REF!</definedName>
    <definedName name="item12.27" localSheetId="7">#REF!</definedName>
    <definedName name="item12.27" localSheetId="4">#REF!</definedName>
    <definedName name="item12.27" localSheetId="5">#REF!</definedName>
    <definedName name="item12.27" localSheetId="2">#REF!</definedName>
    <definedName name="item12.27" localSheetId="6">#REF!</definedName>
    <definedName name="item12.27">#REF!</definedName>
    <definedName name="item12.3" localSheetId="8">#REF!</definedName>
    <definedName name="item12.3" localSheetId="7">#REF!</definedName>
    <definedName name="item12.3" localSheetId="4">#REF!</definedName>
    <definedName name="item12.3" localSheetId="5">#REF!</definedName>
    <definedName name="item12.3" localSheetId="2">#REF!</definedName>
    <definedName name="item12.3" localSheetId="6">#REF!</definedName>
    <definedName name="item12.3">#REF!</definedName>
    <definedName name="item12.4" localSheetId="8">#REF!</definedName>
    <definedName name="item12.4" localSheetId="7">#REF!</definedName>
    <definedName name="item12.4" localSheetId="4">#REF!</definedName>
    <definedName name="item12.4" localSheetId="5">#REF!</definedName>
    <definedName name="item12.4" localSheetId="2">#REF!</definedName>
    <definedName name="item12.4" localSheetId="6">#REF!</definedName>
    <definedName name="item12.4">#REF!</definedName>
    <definedName name="item12.5" localSheetId="8">#REF!</definedName>
    <definedName name="item12.5" localSheetId="7">#REF!</definedName>
    <definedName name="item12.5" localSheetId="4">#REF!</definedName>
    <definedName name="item12.5" localSheetId="5">#REF!</definedName>
    <definedName name="item12.5" localSheetId="2">#REF!</definedName>
    <definedName name="item12.5" localSheetId="6">#REF!</definedName>
    <definedName name="item12.5">#REF!</definedName>
    <definedName name="item12.6" localSheetId="8">#REF!</definedName>
    <definedName name="item12.6" localSheetId="7">#REF!</definedName>
    <definedName name="item12.6" localSheetId="4">#REF!</definedName>
    <definedName name="item12.6" localSheetId="5">#REF!</definedName>
    <definedName name="item12.6" localSheetId="2">#REF!</definedName>
    <definedName name="item12.6" localSheetId="6">#REF!</definedName>
    <definedName name="item12.6">#REF!</definedName>
    <definedName name="item12.7" localSheetId="8">#REF!</definedName>
    <definedName name="item12.7" localSheetId="7">#REF!</definedName>
    <definedName name="item12.7" localSheetId="4">#REF!</definedName>
    <definedName name="item12.7" localSheetId="5">#REF!</definedName>
    <definedName name="item12.7" localSheetId="2">#REF!</definedName>
    <definedName name="item12.7" localSheetId="6">#REF!</definedName>
    <definedName name="item12.7">#REF!</definedName>
    <definedName name="item12.8" localSheetId="8">#REF!</definedName>
    <definedName name="item12.8" localSheetId="7">#REF!</definedName>
    <definedName name="item12.8" localSheetId="4">#REF!</definedName>
    <definedName name="item12.8" localSheetId="5">#REF!</definedName>
    <definedName name="item12.8" localSheetId="2">#REF!</definedName>
    <definedName name="item12.8" localSheetId="6">#REF!</definedName>
    <definedName name="item12.8">#REF!</definedName>
    <definedName name="item12.9" localSheetId="8">#REF!</definedName>
    <definedName name="item12.9" localSheetId="7">#REF!</definedName>
    <definedName name="item12.9" localSheetId="4">#REF!</definedName>
    <definedName name="item12.9" localSheetId="5">#REF!</definedName>
    <definedName name="item12.9" localSheetId="2">#REF!</definedName>
    <definedName name="item12.9" localSheetId="6">#REF!</definedName>
    <definedName name="item12.9">#REF!</definedName>
    <definedName name="item13.1" localSheetId="8">#REF!</definedName>
    <definedName name="item13.1" localSheetId="7">#REF!</definedName>
    <definedName name="item13.1" localSheetId="4">#REF!</definedName>
    <definedName name="item13.1" localSheetId="5">#REF!</definedName>
    <definedName name="item13.1" localSheetId="2">#REF!</definedName>
    <definedName name="item13.1" localSheetId="6">#REF!</definedName>
    <definedName name="item13.1">#REF!</definedName>
    <definedName name="item13.10" localSheetId="8">#REF!</definedName>
    <definedName name="item13.10" localSheetId="7">#REF!</definedName>
    <definedName name="item13.10" localSheetId="4">#REF!</definedName>
    <definedName name="item13.10" localSheetId="5">#REF!</definedName>
    <definedName name="item13.10" localSheetId="2">#REF!</definedName>
    <definedName name="item13.10" localSheetId="6">#REF!</definedName>
    <definedName name="item13.10">#REF!</definedName>
    <definedName name="item13.11" localSheetId="8">#REF!</definedName>
    <definedName name="item13.11" localSheetId="7">#REF!</definedName>
    <definedName name="item13.11" localSheetId="4">#REF!</definedName>
    <definedName name="item13.11" localSheetId="5">#REF!</definedName>
    <definedName name="item13.11" localSheetId="2">#REF!</definedName>
    <definedName name="item13.11" localSheetId="6">#REF!</definedName>
    <definedName name="item13.11">#REF!</definedName>
    <definedName name="item13.12" localSheetId="8">#REF!</definedName>
    <definedName name="item13.12" localSheetId="7">#REF!</definedName>
    <definedName name="item13.12" localSheetId="4">#REF!</definedName>
    <definedName name="item13.12" localSheetId="5">#REF!</definedName>
    <definedName name="item13.12" localSheetId="2">#REF!</definedName>
    <definedName name="item13.12" localSheetId="6">#REF!</definedName>
    <definedName name="item13.12">#REF!</definedName>
    <definedName name="item13.13" localSheetId="8">#REF!</definedName>
    <definedName name="item13.13" localSheetId="7">#REF!</definedName>
    <definedName name="item13.13" localSheetId="4">#REF!</definedName>
    <definedName name="item13.13" localSheetId="5">#REF!</definedName>
    <definedName name="item13.13" localSheetId="2">#REF!</definedName>
    <definedName name="item13.13" localSheetId="6">#REF!</definedName>
    <definedName name="item13.13">#REF!</definedName>
    <definedName name="item13.2" localSheetId="8">#REF!</definedName>
    <definedName name="item13.2" localSheetId="7">#REF!</definedName>
    <definedName name="item13.2" localSheetId="4">#REF!</definedName>
    <definedName name="item13.2" localSheetId="5">#REF!</definedName>
    <definedName name="item13.2" localSheetId="2">#REF!</definedName>
    <definedName name="item13.2" localSheetId="6">#REF!</definedName>
    <definedName name="item13.2">#REF!</definedName>
    <definedName name="item13.3" localSheetId="8">#REF!</definedName>
    <definedName name="item13.3" localSheetId="7">#REF!</definedName>
    <definedName name="item13.3" localSheetId="4">#REF!</definedName>
    <definedName name="item13.3" localSheetId="5">#REF!</definedName>
    <definedName name="item13.3" localSheetId="2">#REF!</definedName>
    <definedName name="item13.3" localSheetId="6">#REF!</definedName>
    <definedName name="item13.3">#REF!</definedName>
    <definedName name="item13.4" localSheetId="8">#REF!</definedName>
    <definedName name="item13.4" localSheetId="7">#REF!</definedName>
    <definedName name="item13.4" localSheetId="4">#REF!</definedName>
    <definedName name="item13.4" localSheetId="5">#REF!</definedName>
    <definedName name="item13.4" localSheetId="2">#REF!</definedName>
    <definedName name="item13.4" localSheetId="6">#REF!</definedName>
    <definedName name="item13.4">#REF!</definedName>
    <definedName name="item13.5" localSheetId="8">#REF!</definedName>
    <definedName name="item13.5" localSheetId="7">#REF!</definedName>
    <definedName name="item13.5" localSheetId="4">#REF!</definedName>
    <definedName name="item13.5" localSheetId="5">#REF!</definedName>
    <definedName name="item13.5" localSheetId="2">#REF!</definedName>
    <definedName name="item13.5" localSheetId="6">#REF!</definedName>
    <definedName name="item13.5">#REF!</definedName>
    <definedName name="item13.6" localSheetId="8">#REF!</definedName>
    <definedName name="item13.6" localSheetId="7">#REF!</definedName>
    <definedName name="item13.6" localSheetId="4">#REF!</definedName>
    <definedName name="item13.6" localSheetId="5">#REF!</definedName>
    <definedName name="item13.6" localSheetId="2">#REF!</definedName>
    <definedName name="item13.6" localSheetId="6">#REF!</definedName>
    <definedName name="item13.6">#REF!</definedName>
    <definedName name="item13.7" localSheetId="8">#REF!</definedName>
    <definedName name="item13.7" localSheetId="7">#REF!</definedName>
    <definedName name="item13.7" localSheetId="4">#REF!</definedName>
    <definedName name="item13.7" localSheetId="5">#REF!</definedName>
    <definedName name="item13.7" localSheetId="2">#REF!</definedName>
    <definedName name="item13.7" localSheetId="6">#REF!</definedName>
    <definedName name="item13.7">#REF!</definedName>
    <definedName name="item13.8" localSheetId="8">#REF!</definedName>
    <definedName name="item13.8" localSheetId="7">#REF!</definedName>
    <definedName name="item13.8" localSheetId="4">#REF!</definedName>
    <definedName name="item13.8" localSheetId="5">#REF!</definedName>
    <definedName name="item13.8" localSheetId="2">#REF!</definedName>
    <definedName name="item13.8" localSheetId="6">#REF!</definedName>
    <definedName name="item13.8">#REF!</definedName>
    <definedName name="item13.9" localSheetId="8">#REF!</definedName>
    <definedName name="item13.9" localSheetId="7">#REF!</definedName>
    <definedName name="item13.9" localSheetId="4">#REF!</definedName>
    <definedName name="item13.9" localSheetId="5">#REF!</definedName>
    <definedName name="item13.9" localSheetId="2">#REF!</definedName>
    <definedName name="item13.9" localSheetId="6">#REF!</definedName>
    <definedName name="item13.9">#REF!</definedName>
    <definedName name="item14.1" localSheetId="8">#REF!</definedName>
    <definedName name="item14.1" localSheetId="7">#REF!</definedName>
    <definedName name="item14.1" localSheetId="4">#REF!</definedName>
    <definedName name="item14.1" localSheetId="5">#REF!</definedName>
    <definedName name="item14.1" localSheetId="2">#REF!</definedName>
    <definedName name="item14.1" localSheetId="6">#REF!</definedName>
    <definedName name="item14.1">#REF!</definedName>
    <definedName name="item14.2" localSheetId="8">#REF!</definedName>
    <definedName name="item14.2" localSheetId="7">#REF!</definedName>
    <definedName name="item14.2" localSheetId="4">#REF!</definedName>
    <definedName name="item14.2" localSheetId="5">#REF!</definedName>
    <definedName name="item14.2" localSheetId="2">#REF!</definedName>
    <definedName name="item14.2" localSheetId="6">#REF!</definedName>
    <definedName name="item14.2">#REF!</definedName>
    <definedName name="item14.3" localSheetId="8">#REF!</definedName>
    <definedName name="item14.3" localSheetId="7">#REF!</definedName>
    <definedName name="item14.3" localSheetId="4">#REF!</definedName>
    <definedName name="item14.3" localSheetId="5">#REF!</definedName>
    <definedName name="item14.3" localSheetId="2">#REF!</definedName>
    <definedName name="item14.3" localSheetId="6">#REF!</definedName>
    <definedName name="item14.3">#REF!</definedName>
    <definedName name="item14.4" localSheetId="8">#REF!</definedName>
    <definedName name="item14.4" localSheetId="7">#REF!</definedName>
    <definedName name="item14.4" localSheetId="4">#REF!</definedName>
    <definedName name="item14.4" localSheetId="5">#REF!</definedName>
    <definedName name="item14.4" localSheetId="2">#REF!</definedName>
    <definedName name="item14.4" localSheetId="6">#REF!</definedName>
    <definedName name="item14.4">#REF!</definedName>
    <definedName name="item14.5" localSheetId="8">#REF!</definedName>
    <definedName name="item14.5" localSheetId="7">#REF!</definedName>
    <definedName name="item14.5" localSheetId="4">#REF!</definedName>
    <definedName name="item14.5" localSheetId="5">#REF!</definedName>
    <definedName name="item14.5" localSheetId="2">#REF!</definedName>
    <definedName name="item14.5" localSheetId="6">#REF!</definedName>
    <definedName name="item14.5">#REF!</definedName>
    <definedName name="item14.6" localSheetId="8">#REF!</definedName>
    <definedName name="item14.6" localSheetId="7">#REF!</definedName>
    <definedName name="item14.6" localSheetId="4">#REF!</definedName>
    <definedName name="item14.6" localSheetId="5">#REF!</definedName>
    <definedName name="item14.6" localSheetId="2">#REF!</definedName>
    <definedName name="item14.6" localSheetId="6">#REF!</definedName>
    <definedName name="item14.6">#REF!</definedName>
    <definedName name="item15.1" localSheetId="8">#REF!</definedName>
    <definedName name="item15.1" localSheetId="7">#REF!</definedName>
    <definedName name="item15.1" localSheetId="4">#REF!</definedName>
    <definedName name="item15.1" localSheetId="5">#REF!</definedName>
    <definedName name="item15.1" localSheetId="2">#REF!</definedName>
    <definedName name="item15.1" localSheetId="6">#REF!</definedName>
    <definedName name="item15.1">#REF!</definedName>
    <definedName name="item15.10" localSheetId="8">#REF!</definedName>
    <definedName name="item15.10" localSheetId="7">#REF!</definedName>
    <definedName name="item15.10" localSheetId="4">#REF!</definedName>
    <definedName name="item15.10" localSheetId="5">#REF!</definedName>
    <definedName name="item15.10" localSheetId="2">#REF!</definedName>
    <definedName name="item15.10" localSheetId="6">#REF!</definedName>
    <definedName name="item15.10">#REF!</definedName>
    <definedName name="item15.11" localSheetId="8">#REF!</definedName>
    <definedName name="item15.11" localSheetId="7">#REF!</definedName>
    <definedName name="item15.11" localSheetId="4">#REF!</definedName>
    <definedName name="item15.11" localSheetId="5">#REF!</definedName>
    <definedName name="item15.11" localSheetId="2">#REF!</definedName>
    <definedName name="item15.11" localSheetId="6">#REF!</definedName>
    <definedName name="item15.11">#REF!</definedName>
    <definedName name="item15.12" localSheetId="8">#REF!</definedName>
    <definedName name="item15.12" localSheetId="7">#REF!</definedName>
    <definedName name="item15.12" localSheetId="4">#REF!</definedName>
    <definedName name="item15.12" localSheetId="5">#REF!</definedName>
    <definedName name="item15.12" localSheetId="2">#REF!</definedName>
    <definedName name="item15.12" localSheetId="6">#REF!</definedName>
    <definedName name="item15.12">#REF!</definedName>
    <definedName name="item15.13" localSheetId="8">#REF!</definedName>
    <definedName name="item15.13" localSheetId="7">#REF!</definedName>
    <definedName name="item15.13" localSheetId="4">#REF!</definedName>
    <definedName name="item15.13" localSheetId="5">#REF!</definedName>
    <definedName name="item15.13" localSheetId="2">#REF!</definedName>
    <definedName name="item15.13" localSheetId="6">#REF!</definedName>
    <definedName name="item15.13">#REF!</definedName>
    <definedName name="item15.2" localSheetId="8">#REF!</definedName>
    <definedName name="item15.2" localSheetId="7">#REF!</definedName>
    <definedName name="item15.2" localSheetId="4">#REF!</definedName>
    <definedName name="item15.2" localSheetId="5">#REF!</definedName>
    <definedName name="item15.2" localSheetId="2">#REF!</definedName>
    <definedName name="item15.2" localSheetId="6">#REF!</definedName>
    <definedName name="item15.2">#REF!</definedName>
    <definedName name="item15.3" localSheetId="8">#REF!</definedName>
    <definedName name="item15.3" localSheetId="7">#REF!</definedName>
    <definedName name="item15.3" localSheetId="4">#REF!</definedName>
    <definedName name="item15.3" localSheetId="5">#REF!</definedName>
    <definedName name="item15.3" localSheetId="2">#REF!</definedName>
    <definedName name="item15.3" localSheetId="6">#REF!</definedName>
    <definedName name="item15.3">#REF!</definedName>
    <definedName name="item15.4" localSheetId="8">#REF!</definedName>
    <definedName name="item15.4" localSheetId="7">#REF!</definedName>
    <definedName name="item15.4" localSheetId="4">#REF!</definedName>
    <definedName name="item15.4" localSheetId="5">#REF!</definedName>
    <definedName name="item15.4" localSheetId="2">#REF!</definedName>
    <definedName name="item15.4" localSheetId="6">#REF!</definedName>
    <definedName name="item15.4">#REF!</definedName>
    <definedName name="item15.5" localSheetId="8">#REF!</definedName>
    <definedName name="item15.5" localSheetId="7">#REF!</definedName>
    <definedName name="item15.5" localSheetId="4">#REF!</definedName>
    <definedName name="item15.5" localSheetId="5">#REF!</definedName>
    <definedName name="item15.5" localSheetId="2">#REF!</definedName>
    <definedName name="item15.5" localSheetId="6">#REF!</definedName>
    <definedName name="item15.5">#REF!</definedName>
    <definedName name="item15.6" localSheetId="8">#REF!</definedName>
    <definedName name="item15.6" localSheetId="7">#REF!</definedName>
    <definedName name="item15.6" localSheetId="4">#REF!</definedName>
    <definedName name="item15.6" localSheetId="5">#REF!</definedName>
    <definedName name="item15.6" localSheetId="2">#REF!</definedName>
    <definedName name="item15.6" localSheetId="6">#REF!</definedName>
    <definedName name="item15.6">#REF!</definedName>
    <definedName name="item15.7" localSheetId="8">#REF!</definedName>
    <definedName name="item15.7" localSheetId="7">#REF!</definedName>
    <definedName name="item15.7" localSheetId="4">#REF!</definedName>
    <definedName name="item15.7" localSheetId="5">#REF!</definedName>
    <definedName name="item15.7" localSheetId="2">#REF!</definedName>
    <definedName name="item15.7" localSheetId="6">#REF!</definedName>
    <definedName name="item15.7">#REF!</definedName>
    <definedName name="item15.8" localSheetId="8">#REF!</definedName>
    <definedName name="item15.8" localSheetId="7">#REF!</definedName>
    <definedName name="item15.8" localSheetId="4">#REF!</definedName>
    <definedName name="item15.8" localSheetId="5">#REF!</definedName>
    <definedName name="item15.8" localSheetId="2">#REF!</definedName>
    <definedName name="item15.8" localSheetId="6">#REF!</definedName>
    <definedName name="item15.8">#REF!</definedName>
    <definedName name="item15.9" localSheetId="8">#REF!</definedName>
    <definedName name="item15.9" localSheetId="7">#REF!</definedName>
    <definedName name="item15.9" localSheetId="4">#REF!</definedName>
    <definedName name="item15.9" localSheetId="5">#REF!</definedName>
    <definedName name="item15.9" localSheetId="2">#REF!</definedName>
    <definedName name="item15.9" localSheetId="6">#REF!</definedName>
    <definedName name="item15.9">#REF!</definedName>
    <definedName name="item2.1" localSheetId="8">#REF!</definedName>
    <definedName name="item2.1" localSheetId="7">#REF!</definedName>
    <definedName name="item2.1" localSheetId="4">#REF!</definedName>
    <definedName name="item2.1" localSheetId="5">#REF!</definedName>
    <definedName name="item2.1" localSheetId="2">#REF!</definedName>
    <definedName name="item2.1" localSheetId="6">#REF!</definedName>
    <definedName name="item2.1">#REF!</definedName>
    <definedName name="item2.10" localSheetId="8">#REF!</definedName>
    <definedName name="item2.10" localSheetId="7">#REF!</definedName>
    <definedName name="item2.10" localSheetId="4">#REF!</definedName>
    <definedName name="item2.10" localSheetId="5">#REF!</definedName>
    <definedName name="item2.10" localSheetId="2">#REF!</definedName>
    <definedName name="item2.10" localSheetId="6">#REF!</definedName>
    <definedName name="item2.10">#REF!</definedName>
    <definedName name="item2.11" localSheetId="8">#REF!</definedName>
    <definedName name="item2.11" localSheetId="7">#REF!</definedName>
    <definedName name="item2.11" localSheetId="4">#REF!</definedName>
    <definedName name="item2.11" localSheetId="5">#REF!</definedName>
    <definedName name="item2.11" localSheetId="2">#REF!</definedName>
    <definedName name="item2.11" localSheetId="6">#REF!</definedName>
    <definedName name="item2.11">#REF!</definedName>
    <definedName name="item2.12" localSheetId="8">#REF!</definedName>
    <definedName name="item2.12" localSheetId="7">#REF!</definedName>
    <definedName name="item2.12" localSheetId="4">#REF!</definedName>
    <definedName name="item2.12" localSheetId="5">#REF!</definedName>
    <definedName name="item2.12" localSheetId="2">#REF!</definedName>
    <definedName name="item2.12" localSheetId="6">#REF!</definedName>
    <definedName name="item2.12">#REF!</definedName>
    <definedName name="item2.13" localSheetId="8">#REF!</definedName>
    <definedName name="item2.13" localSheetId="7">#REF!</definedName>
    <definedName name="item2.13" localSheetId="4">#REF!</definedName>
    <definedName name="item2.13" localSheetId="5">#REF!</definedName>
    <definedName name="item2.13" localSheetId="2">#REF!</definedName>
    <definedName name="item2.13" localSheetId="6">#REF!</definedName>
    <definedName name="item2.13">#REF!</definedName>
    <definedName name="item2.14" localSheetId="8">#REF!</definedName>
    <definedName name="item2.14" localSheetId="7">#REF!</definedName>
    <definedName name="item2.14" localSheetId="4">#REF!</definedName>
    <definedName name="item2.14" localSheetId="5">#REF!</definedName>
    <definedName name="item2.14" localSheetId="2">#REF!</definedName>
    <definedName name="item2.14" localSheetId="6">#REF!</definedName>
    <definedName name="item2.14">#REF!</definedName>
    <definedName name="item2.15" localSheetId="8">#REF!</definedName>
    <definedName name="item2.15" localSheetId="7">#REF!</definedName>
    <definedName name="item2.15" localSheetId="4">#REF!</definedName>
    <definedName name="item2.15" localSheetId="5">#REF!</definedName>
    <definedName name="item2.15" localSheetId="2">#REF!</definedName>
    <definedName name="item2.15" localSheetId="6">#REF!</definedName>
    <definedName name="item2.15">#REF!</definedName>
    <definedName name="item2.16" localSheetId="8">#REF!</definedName>
    <definedName name="item2.16" localSheetId="7">#REF!</definedName>
    <definedName name="item2.16" localSheetId="4">#REF!</definedName>
    <definedName name="item2.16" localSheetId="5">#REF!</definedName>
    <definedName name="item2.16" localSheetId="2">#REF!</definedName>
    <definedName name="item2.16" localSheetId="6">#REF!</definedName>
    <definedName name="item2.16">#REF!</definedName>
    <definedName name="item2.17" localSheetId="8">#REF!</definedName>
    <definedName name="item2.17" localSheetId="7">#REF!</definedName>
    <definedName name="item2.17" localSheetId="4">#REF!</definedName>
    <definedName name="item2.17" localSheetId="5">#REF!</definedName>
    <definedName name="item2.17" localSheetId="2">#REF!</definedName>
    <definedName name="item2.17" localSheetId="6">#REF!</definedName>
    <definedName name="item2.17">#REF!</definedName>
    <definedName name="item2.18" localSheetId="8">#REF!</definedName>
    <definedName name="item2.18" localSheetId="7">#REF!</definedName>
    <definedName name="item2.18" localSheetId="4">#REF!</definedName>
    <definedName name="item2.18" localSheetId="5">#REF!</definedName>
    <definedName name="item2.18" localSheetId="2">#REF!</definedName>
    <definedName name="item2.18" localSheetId="6">#REF!</definedName>
    <definedName name="item2.18">#REF!</definedName>
    <definedName name="item2.19" localSheetId="8">#REF!</definedName>
    <definedName name="item2.19" localSheetId="7">#REF!</definedName>
    <definedName name="item2.19" localSheetId="4">#REF!</definedName>
    <definedName name="item2.19" localSheetId="5">#REF!</definedName>
    <definedName name="item2.19" localSheetId="2">#REF!</definedName>
    <definedName name="item2.19" localSheetId="6">#REF!</definedName>
    <definedName name="item2.19">#REF!</definedName>
    <definedName name="item2.2" localSheetId="8">#REF!</definedName>
    <definedName name="item2.2" localSheetId="7">#REF!</definedName>
    <definedName name="item2.2" localSheetId="4">#REF!</definedName>
    <definedName name="item2.2" localSheetId="5">#REF!</definedName>
    <definedName name="item2.2" localSheetId="2">#REF!</definedName>
    <definedName name="item2.2" localSheetId="6">#REF!</definedName>
    <definedName name="item2.2">#REF!</definedName>
    <definedName name="item2.20" localSheetId="8">#REF!</definedName>
    <definedName name="item2.20" localSheetId="7">#REF!</definedName>
    <definedName name="item2.20" localSheetId="4">#REF!</definedName>
    <definedName name="item2.20" localSheetId="5">#REF!</definedName>
    <definedName name="item2.20" localSheetId="2">#REF!</definedName>
    <definedName name="item2.20" localSheetId="6">#REF!</definedName>
    <definedName name="item2.20">#REF!</definedName>
    <definedName name="item2.21" localSheetId="8">#REF!</definedName>
    <definedName name="item2.21" localSheetId="7">#REF!</definedName>
    <definedName name="item2.21" localSheetId="4">#REF!</definedName>
    <definedName name="item2.21" localSheetId="5">#REF!</definedName>
    <definedName name="item2.21" localSheetId="2">#REF!</definedName>
    <definedName name="item2.21" localSheetId="6">#REF!</definedName>
    <definedName name="item2.21">#REF!</definedName>
    <definedName name="item2.22" localSheetId="8">#REF!</definedName>
    <definedName name="item2.22" localSheetId="7">#REF!</definedName>
    <definedName name="item2.22" localSheetId="4">#REF!</definedName>
    <definedName name="item2.22" localSheetId="5">#REF!</definedName>
    <definedName name="item2.22" localSheetId="2">#REF!</definedName>
    <definedName name="item2.22" localSheetId="6">#REF!</definedName>
    <definedName name="item2.22">#REF!</definedName>
    <definedName name="item2.23" localSheetId="8">#REF!</definedName>
    <definedName name="item2.23" localSheetId="7">#REF!</definedName>
    <definedName name="item2.23" localSheetId="4">#REF!</definedName>
    <definedName name="item2.23" localSheetId="5">#REF!</definedName>
    <definedName name="item2.23" localSheetId="2">#REF!</definedName>
    <definedName name="item2.23" localSheetId="6">#REF!</definedName>
    <definedName name="item2.23">#REF!</definedName>
    <definedName name="item2.24" localSheetId="8">#REF!</definedName>
    <definedName name="item2.24" localSheetId="7">#REF!</definedName>
    <definedName name="item2.24" localSheetId="4">#REF!</definedName>
    <definedName name="item2.24" localSheetId="5">#REF!</definedName>
    <definedName name="item2.24" localSheetId="2">#REF!</definedName>
    <definedName name="item2.24" localSheetId="6">#REF!</definedName>
    <definedName name="item2.24">#REF!</definedName>
    <definedName name="item2.25" localSheetId="8">#REF!</definedName>
    <definedName name="item2.25" localSheetId="7">#REF!</definedName>
    <definedName name="item2.25" localSheetId="4">#REF!</definedName>
    <definedName name="item2.25" localSheetId="5">#REF!</definedName>
    <definedName name="item2.25" localSheetId="2">#REF!</definedName>
    <definedName name="item2.25" localSheetId="6">#REF!</definedName>
    <definedName name="item2.25">#REF!</definedName>
    <definedName name="item2.26" localSheetId="8">#REF!</definedName>
    <definedName name="item2.26" localSheetId="7">#REF!</definedName>
    <definedName name="item2.26" localSheetId="4">#REF!</definedName>
    <definedName name="item2.26" localSheetId="5">#REF!</definedName>
    <definedName name="item2.26" localSheetId="2">#REF!</definedName>
    <definedName name="item2.26" localSheetId="6">#REF!</definedName>
    <definedName name="item2.26">#REF!</definedName>
    <definedName name="item2.27" localSheetId="8">#REF!</definedName>
    <definedName name="item2.27" localSheetId="7">#REF!</definedName>
    <definedName name="item2.27" localSheetId="4">#REF!</definedName>
    <definedName name="item2.27" localSheetId="5">#REF!</definedName>
    <definedName name="item2.27" localSheetId="2">#REF!</definedName>
    <definedName name="item2.27" localSheetId="6">#REF!</definedName>
    <definedName name="item2.27">#REF!</definedName>
    <definedName name="item2.3" localSheetId="8">#REF!</definedName>
    <definedName name="item2.3" localSheetId="7">#REF!</definedName>
    <definedName name="item2.3" localSheetId="4">#REF!</definedName>
    <definedName name="item2.3" localSheetId="5">#REF!</definedName>
    <definedName name="item2.3" localSheetId="2">#REF!</definedName>
    <definedName name="item2.3" localSheetId="6">#REF!</definedName>
    <definedName name="item2.3">#REF!</definedName>
    <definedName name="item2.4" localSheetId="8">#REF!</definedName>
    <definedName name="item2.4" localSheetId="7">#REF!</definedName>
    <definedName name="item2.4" localSheetId="4">#REF!</definedName>
    <definedName name="item2.4" localSheetId="5">#REF!</definedName>
    <definedName name="item2.4" localSheetId="2">#REF!</definedName>
    <definedName name="item2.4" localSheetId="6">#REF!</definedName>
    <definedName name="item2.4">#REF!</definedName>
    <definedName name="item2.5" localSheetId="8">#REF!</definedName>
    <definedName name="item2.5" localSheetId="7">#REF!</definedName>
    <definedName name="item2.5" localSheetId="4">#REF!</definedName>
    <definedName name="item2.5" localSheetId="5">#REF!</definedName>
    <definedName name="item2.5" localSheetId="2">#REF!</definedName>
    <definedName name="item2.5" localSheetId="6">#REF!</definedName>
    <definedName name="item2.5">#REF!</definedName>
    <definedName name="item2.6" localSheetId="8">#REF!</definedName>
    <definedName name="item2.6" localSheetId="7">#REF!</definedName>
    <definedName name="item2.6" localSheetId="4">#REF!</definedName>
    <definedName name="item2.6" localSheetId="5">#REF!</definedName>
    <definedName name="item2.6" localSheetId="2">#REF!</definedName>
    <definedName name="item2.6" localSheetId="6">#REF!</definedName>
    <definedName name="item2.6">#REF!</definedName>
    <definedName name="item2.7" localSheetId="8">#REF!</definedName>
    <definedName name="item2.7" localSheetId="7">#REF!</definedName>
    <definedName name="item2.7" localSheetId="4">#REF!</definedName>
    <definedName name="item2.7" localSheetId="5">#REF!</definedName>
    <definedName name="item2.7" localSheetId="2">#REF!</definedName>
    <definedName name="item2.7" localSheetId="6">#REF!</definedName>
    <definedName name="item2.7">#REF!</definedName>
    <definedName name="item2.8" localSheetId="8">#REF!</definedName>
    <definedName name="item2.8" localSheetId="7">#REF!</definedName>
    <definedName name="item2.8" localSheetId="4">#REF!</definedName>
    <definedName name="item2.8" localSheetId="5">#REF!</definedName>
    <definedName name="item2.8" localSheetId="2">#REF!</definedName>
    <definedName name="item2.8" localSheetId="6">#REF!</definedName>
    <definedName name="item2.8">#REF!</definedName>
    <definedName name="item2.9" localSheetId="8">#REF!</definedName>
    <definedName name="item2.9" localSheetId="7">#REF!</definedName>
    <definedName name="item2.9" localSheetId="4">#REF!</definedName>
    <definedName name="item2.9" localSheetId="5">#REF!</definedName>
    <definedName name="item2.9" localSheetId="2">#REF!</definedName>
    <definedName name="item2.9" localSheetId="6">#REF!</definedName>
    <definedName name="item2.9">#REF!</definedName>
    <definedName name="item3.1" localSheetId="8">#REF!</definedName>
    <definedName name="item3.1" localSheetId="7">#REF!</definedName>
    <definedName name="item3.1" localSheetId="4">#REF!</definedName>
    <definedName name="item3.1" localSheetId="5">#REF!</definedName>
    <definedName name="item3.1" localSheetId="2">#REF!</definedName>
    <definedName name="item3.1" localSheetId="6">#REF!</definedName>
    <definedName name="item3.1">#REF!</definedName>
    <definedName name="item3.2" localSheetId="8">#REF!</definedName>
    <definedName name="item3.2" localSheetId="7">#REF!</definedName>
    <definedName name="item3.2" localSheetId="4">#REF!</definedName>
    <definedName name="item3.2" localSheetId="5">#REF!</definedName>
    <definedName name="item3.2" localSheetId="2">#REF!</definedName>
    <definedName name="item3.2" localSheetId="6">#REF!</definedName>
    <definedName name="item3.2">#REF!</definedName>
    <definedName name="item3.3" localSheetId="8">#REF!</definedName>
    <definedName name="item3.3" localSheetId="7">#REF!</definedName>
    <definedName name="item3.3" localSheetId="4">#REF!</definedName>
    <definedName name="item3.3" localSheetId="5">#REF!</definedName>
    <definedName name="item3.3" localSheetId="2">#REF!</definedName>
    <definedName name="item3.3" localSheetId="6">#REF!</definedName>
    <definedName name="item3.3">#REF!</definedName>
    <definedName name="item4.1" localSheetId="8">#REF!</definedName>
    <definedName name="item4.1" localSheetId="7">#REF!</definedName>
    <definedName name="item4.1" localSheetId="4">#REF!</definedName>
    <definedName name="item4.1" localSheetId="5">#REF!</definedName>
    <definedName name="item4.1" localSheetId="2">#REF!</definedName>
    <definedName name="item4.1" localSheetId="6">#REF!</definedName>
    <definedName name="item4.1">#REF!</definedName>
    <definedName name="item4.2" localSheetId="8">#REF!</definedName>
    <definedName name="item4.2" localSheetId="7">#REF!</definedName>
    <definedName name="item4.2" localSheetId="4">#REF!</definedName>
    <definedName name="item4.2" localSheetId="5">#REF!</definedName>
    <definedName name="item4.2" localSheetId="2">#REF!</definedName>
    <definedName name="item4.2" localSheetId="6">#REF!</definedName>
    <definedName name="item4.2">#REF!</definedName>
    <definedName name="item4.3" localSheetId="8">#REF!</definedName>
    <definedName name="item4.3" localSheetId="7">#REF!</definedName>
    <definedName name="item4.3" localSheetId="4">#REF!</definedName>
    <definedName name="item4.3" localSheetId="5">#REF!</definedName>
    <definedName name="item4.3" localSheetId="2">#REF!</definedName>
    <definedName name="item4.3" localSheetId="6">#REF!</definedName>
    <definedName name="item4.3">#REF!</definedName>
    <definedName name="item4.4" localSheetId="8">#REF!</definedName>
    <definedName name="item4.4" localSheetId="7">#REF!</definedName>
    <definedName name="item4.4" localSheetId="4">#REF!</definedName>
    <definedName name="item4.4" localSheetId="5">#REF!</definedName>
    <definedName name="item4.4" localSheetId="2">#REF!</definedName>
    <definedName name="item4.4" localSheetId="6">#REF!</definedName>
    <definedName name="item4.4">#REF!</definedName>
    <definedName name="item4.5" localSheetId="8">#REF!</definedName>
    <definedName name="item4.5" localSheetId="7">#REF!</definedName>
    <definedName name="item4.5" localSheetId="4">#REF!</definedName>
    <definedName name="item4.5" localSheetId="5">#REF!</definedName>
    <definedName name="item4.5" localSheetId="2">#REF!</definedName>
    <definedName name="item4.5" localSheetId="6">#REF!</definedName>
    <definedName name="item4.5">#REF!</definedName>
    <definedName name="item4.6" localSheetId="8">#REF!</definedName>
    <definedName name="item4.6" localSheetId="7">#REF!</definedName>
    <definedName name="item4.6" localSheetId="4">#REF!</definedName>
    <definedName name="item4.6" localSheetId="5">#REF!</definedName>
    <definedName name="item4.6" localSheetId="2">#REF!</definedName>
    <definedName name="item4.6" localSheetId="6">#REF!</definedName>
    <definedName name="item4.6">#REF!</definedName>
    <definedName name="item4.7" localSheetId="8">#REF!</definedName>
    <definedName name="item4.7" localSheetId="7">#REF!</definedName>
    <definedName name="item4.7" localSheetId="4">#REF!</definedName>
    <definedName name="item4.7" localSheetId="5">#REF!</definedName>
    <definedName name="item4.7" localSheetId="2">#REF!</definedName>
    <definedName name="item4.7" localSheetId="6">#REF!</definedName>
    <definedName name="item4.7">#REF!</definedName>
    <definedName name="item5.1" localSheetId="8">#REF!</definedName>
    <definedName name="item5.1" localSheetId="7">#REF!</definedName>
    <definedName name="item5.1" localSheetId="4">#REF!</definedName>
    <definedName name="item5.1" localSheetId="5">#REF!</definedName>
    <definedName name="item5.1" localSheetId="2">#REF!</definedName>
    <definedName name="item5.1" localSheetId="6">#REF!</definedName>
    <definedName name="item5.1">#REF!</definedName>
    <definedName name="item5.2" localSheetId="8">#REF!</definedName>
    <definedName name="item5.2" localSheetId="7">#REF!</definedName>
    <definedName name="item5.2" localSheetId="4">#REF!</definedName>
    <definedName name="item5.2" localSheetId="5">#REF!</definedName>
    <definedName name="item5.2" localSheetId="2">#REF!</definedName>
    <definedName name="item5.2" localSheetId="6">#REF!</definedName>
    <definedName name="item5.2">#REF!</definedName>
    <definedName name="item5.3" localSheetId="8">#REF!</definedName>
    <definedName name="item5.3" localSheetId="7">#REF!</definedName>
    <definedName name="item5.3" localSheetId="4">#REF!</definedName>
    <definedName name="item5.3" localSheetId="5">#REF!</definedName>
    <definedName name="item5.3" localSheetId="2">#REF!</definedName>
    <definedName name="item5.3" localSheetId="6">#REF!</definedName>
    <definedName name="item5.3">#REF!</definedName>
    <definedName name="item5.4" localSheetId="8">#REF!</definedName>
    <definedName name="item5.4" localSheetId="7">#REF!</definedName>
    <definedName name="item5.4" localSheetId="4">#REF!</definedName>
    <definedName name="item5.4" localSheetId="5">#REF!</definedName>
    <definedName name="item5.4" localSheetId="2">#REF!</definedName>
    <definedName name="item5.4" localSheetId="6">#REF!</definedName>
    <definedName name="item5.4">#REF!</definedName>
    <definedName name="item5.5" localSheetId="8">#REF!</definedName>
    <definedName name="item5.5" localSheetId="7">#REF!</definedName>
    <definedName name="item5.5" localSheetId="4">#REF!</definedName>
    <definedName name="item5.5" localSheetId="5">#REF!</definedName>
    <definedName name="item5.5" localSheetId="2">#REF!</definedName>
    <definedName name="item5.5" localSheetId="6">#REF!</definedName>
    <definedName name="item5.5">#REF!</definedName>
    <definedName name="item5.6" localSheetId="8">#REF!</definedName>
    <definedName name="item5.6" localSheetId="7">#REF!</definedName>
    <definedName name="item5.6" localSheetId="4">#REF!</definedName>
    <definedName name="item5.6" localSheetId="5">#REF!</definedName>
    <definedName name="item5.6" localSheetId="2">#REF!</definedName>
    <definedName name="item5.6" localSheetId="6">#REF!</definedName>
    <definedName name="item5.6">#REF!</definedName>
    <definedName name="item5.7" localSheetId="8">#REF!</definedName>
    <definedName name="item5.7" localSheetId="7">#REF!</definedName>
    <definedName name="item5.7" localSheetId="4">#REF!</definedName>
    <definedName name="item5.7" localSheetId="5">#REF!</definedName>
    <definedName name="item5.7" localSheetId="2">#REF!</definedName>
    <definedName name="item5.7" localSheetId="6">#REF!</definedName>
    <definedName name="item5.7">#REF!</definedName>
    <definedName name="item6.1" localSheetId="8">#REF!</definedName>
    <definedName name="item6.1" localSheetId="7">#REF!</definedName>
    <definedName name="item6.1" localSheetId="4">#REF!</definedName>
    <definedName name="item6.1" localSheetId="5">#REF!</definedName>
    <definedName name="item6.1" localSheetId="2">#REF!</definedName>
    <definedName name="item6.1" localSheetId="6">#REF!</definedName>
    <definedName name="item6.1">#REF!</definedName>
    <definedName name="item6.2" localSheetId="8">#REF!</definedName>
    <definedName name="item6.2" localSheetId="7">#REF!</definedName>
    <definedName name="item6.2" localSheetId="4">#REF!</definedName>
    <definedName name="item6.2" localSheetId="5">#REF!</definedName>
    <definedName name="item6.2" localSheetId="2">#REF!</definedName>
    <definedName name="item6.2" localSheetId="6">#REF!</definedName>
    <definedName name="item6.2">#REF!</definedName>
    <definedName name="item6.3" localSheetId="8">#REF!</definedName>
    <definedName name="item6.3" localSheetId="7">#REF!</definedName>
    <definedName name="item6.3" localSheetId="4">#REF!</definedName>
    <definedName name="item6.3" localSheetId="5">#REF!</definedName>
    <definedName name="item6.3" localSheetId="2">#REF!</definedName>
    <definedName name="item6.3" localSheetId="6">#REF!</definedName>
    <definedName name="item6.3">#REF!</definedName>
    <definedName name="item6.4" localSheetId="8">#REF!</definedName>
    <definedName name="item6.4" localSheetId="7">#REF!</definedName>
    <definedName name="item6.4" localSheetId="4">#REF!</definedName>
    <definedName name="item6.4" localSheetId="5">#REF!</definedName>
    <definedName name="item6.4" localSheetId="2">#REF!</definedName>
    <definedName name="item6.4" localSheetId="6">#REF!</definedName>
    <definedName name="item6.4">#REF!</definedName>
    <definedName name="item6.5" localSheetId="8">#REF!</definedName>
    <definedName name="item6.5" localSheetId="7">#REF!</definedName>
    <definedName name="item6.5" localSheetId="4">#REF!</definedName>
    <definedName name="item6.5" localSheetId="5">#REF!</definedName>
    <definedName name="item6.5" localSheetId="2">#REF!</definedName>
    <definedName name="item6.5" localSheetId="6">#REF!</definedName>
    <definedName name="item6.5">#REF!</definedName>
    <definedName name="item7.1" localSheetId="8">#REF!</definedName>
    <definedName name="item7.1" localSheetId="7">#REF!</definedName>
    <definedName name="item7.1" localSheetId="4">#REF!</definedName>
    <definedName name="item7.1" localSheetId="5">#REF!</definedName>
    <definedName name="item7.1" localSheetId="2">#REF!</definedName>
    <definedName name="item7.1" localSheetId="6">#REF!</definedName>
    <definedName name="item7.1">#REF!</definedName>
    <definedName name="item7.10" localSheetId="8">#REF!</definedName>
    <definedName name="item7.10" localSheetId="7">#REF!</definedName>
    <definedName name="item7.10" localSheetId="4">#REF!</definedName>
    <definedName name="item7.10" localSheetId="5">#REF!</definedName>
    <definedName name="item7.10" localSheetId="2">#REF!</definedName>
    <definedName name="item7.10" localSheetId="6">#REF!</definedName>
    <definedName name="item7.10">#REF!</definedName>
    <definedName name="item7.11" localSheetId="8">#REF!</definedName>
    <definedName name="item7.11" localSheetId="7">#REF!</definedName>
    <definedName name="item7.11" localSheetId="4">#REF!</definedName>
    <definedName name="item7.11" localSheetId="5">#REF!</definedName>
    <definedName name="item7.11" localSheetId="2">#REF!</definedName>
    <definedName name="item7.11" localSheetId="6">#REF!</definedName>
    <definedName name="item7.11">#REF!</definedName>
    <definedName name="item7.12" localSheetId="8">#REF!</definedName>
    <definedName name="item7.12" localSheetId="7">#REF!</definedName>
    <definedName name="item7.12" localSheetId="4">#REF!</definedName>
    <definedName name="item7.12" localSheetId="5">#REF!</definedName>
    <definedName name="item7.12" localSheetId="2">#REF!</definedName>
    <definedName name="item7.12" localSheetId="6">#REF!</definedName>
    <definedName name="item7.12">#REF!</definedName>
    <definedName name="item7.13" localSheetId="8">#REF!</definedName>
    <definedName name="item7.13" localSheetId="7">#REF!</definedName>
    <definedName name="item7.13" localSheetId="4">#REF!</definedName>
    <definedName name="item7.13" localSheetId="5">#REF!</definedName>
    <definedName name="item7.13" localSheetId="2">#REF!</definedName>
    <definedName name="item7.13" localSheetId="6">#REF!</definedName>
    <definedName name="item7.13">#REF!</definedName>
    <definedName name="item7.14" localSheetId="8">#REF!</definedName>
    <definedName name="item7.14" localSheetId="7">#REF!</definedName>
    <definedName name="item7.14" localSheetId="4">#REF!</definedName>
    <definedName name="item7.14" localSheetId="5">#REF!</definedName>
    <definedName name="item7.14" localSheetId="2">#REF!</definedName>
    <definedName name="item7.14" localSheetId="6">#REF!</definedName>
    <definedName name="item7.14">#REF!</definedName>
    <definedName name="item7.15" localSheetId="8">#REF!</definedName>
    <definedName name="item7.15" localSheetId="7">#REF!</definedName>
    <definedName name="item7.15" localSheetId="4">#REF!</definedName>
    <definedName name="item7.15" localSheetId="5">#REF!</definedName>
    <definedName name="item7.15" localSheetId="2">#REF!</definedName>
    <definedName name="item7.15" localSheetId="6">#REF!</definedName>
    <definedName name="item7.15">#REF!</definedName>
    <definedName name="item7.16" localSheetId="8">#REF!</definedName>
    <definedName name="item7.16" localSheetId="7">#REF!</definedName>
    <definedName name="item7.16" localSheetId="4">#REF!</definedName>
    <definedName name="item7.16" localSheetId="5">#REF!</definedName>
    <definedName name="item7.16" localSheetId="2">#REF!</definedName>
    <definedName name="item7.16" localSheetId="6">#REF!</definedName>
    <definedName name="item7.16">#REF!</definedName>
    <definedName name="item7.17" localSheetId="8">#REF!</definedName>
    <definedName name="item7.17" localSheetId="7">#REF!</definedName>
    <definedName name="item7.17" localSheetId="4">#REF!</definedName>
    <definedName name="item7.17" localSheetId="5">#REF!</definedName>
    <definedName name="item7.17" localSheetId="2">#REF!</definedName>
    <definedName name="item7.17" localSheetId="6">#REF!</definedName>
    <definedName name="item7.17">#REF!</definedName>
    <definedName name="item7.18" localSheetId="8">#REF!</definedName>
    <definedName name="item7.18" localSheetId="7">#REF!</definedName>
    <definedName name="item7.18" localSheetId="4">#REF!</definedName>
    <definedName name="item7.18" localSheetId="5">#REF!</definedName>
    <definedName name="item7.18" localSheetId="2">#REF!</definedName>
    <definedName name="item7.18" localSheetId="6">#REF!</definedName>
    <definedName name="item7.18">#REF!</definedName>
    <definedName name="item7.19" localSheetId="8">#REF!</definedName>
    <definedName name="item7.19" localSheetId="7">#REF!</definedName>
    <definedName name="item7.19" localSheetId="4">#REF!</definedName>
    <definedName name="item7.19" localSheetId="5">#REF!</definedName>
    <definedName name="item7.19" localSheetId="2">#REF!</definedName>
    <definedName name="item7.19" localSheetId="6">#REF!</definedName>
    <definedName name="item7.19">#REF!</definedName>
    <definedName name="item7.2" localSheetId="8">#REF!</definedName>
    <definedName name="item7.2" localSheetId="7">#REF!</definedName>
    <definedName name="item7.2" localSheetId="4">#REF!</definedName>
    <definedName name="item7.2" localSheetId="5">#REF!</definedName>
    <definedName name="item7.2" localSheetId="2">#REF!</definedName>
    <definedName name="item7.2" localSheetId="6">#REF!</definedName>
    <definedName name="item7.2">#REF!</definedName>
    <definedName name="item7.3" localSheetId="8">#REF!</definedName>
    <definedName name="item7.3" localSheetId="7">#REF!</definedName>
    <definedName name="item7.3" localSheetId="4">#REF!</definedName>
    <definedName name="item7.3" localSheetId="5">#REF!</definedName>
    <definedName name="item7.3" localSheetId="2">#REF!</definedName>
    <definedName name="item7.3" localSheetId="6">#REF!</definedName>
    <definedName name="item7.3">#REF!</definedName>
    <definedName name="item7.4" localSheetId="8">#REF!</definedName>
    <definedName name="item7.4" localSheetId="7">#REF!</definedName>
    <definedName name="item7.4" localSheetId="4">#REF!</definedName>
    <definedName name="item7.4" localSheetId="5">#REF!</definedName>
    <definedName name="item7.4" localSheetId="2">#REF!</definedName>
    <definedName name="item7.4" localSheetId="6">#REF!</definedName>
    <definedName name="item7.4">#REF!</definedName>
    <definedName name="item7.5" localSheetId="8">#REF!</definedName>
    <definedName name="item7.5" localSheetId="7">#REF!</definedName>
    <definedName name="item7.5" localSheetId="4">#REF!</definedName>
    <definedName name="item7.5" localSheetId="5">#REF!</definedName>
    <definedName name="item7.5" localSheetId="2">#REF!</definedName>
    <definedName name="item7.5" localSheetId="6">#REF!</definedName>
    <definedName name="item7.5">#REF!</definedName>
    <definedName name="item7.6" localSheetId="8">#REF!</definedName>
    <definedName name="item7.6" localSheetId="7">#REF!</definedName>
    <definedName name="item7.6" localSheetId="4">#REF!</definedName>
    <definedName name="item7.6" localSheetId="5">#REF!</definedName>
    <definedName name="item7.6" localSheetId="2">#REF!</definedName>
    <definedName name="item7.6" localSheetId="6">#REF!</definedName>
    <definedName name="item7.6">#REF!</definedName>
    <definedName name="item7.7" localSheetId="8">#REF!</definedName>
    <definedName name="item7.7" localSheetId="7">#REF!</definedName>
    <definedName name="item7.7" localSheetId="4">#REF!</definedName>
    <definedName name="item7.7" localSheetId="5">#REF!</definedName>
    <definedName name="item7.7" localSheetId="2">#REF!</definedName>
    <definedName name="item7.7" localSheetId="6">#REF!</definedName>
    <definedName name="item7.7">#REF!</definedName>
    <definedName name="item7.8" localSheetId="8">#REF!</definedName>
    <definedName name="item7.8" localSheetId="7">#REF!</definedName>
    <definedName name="item7.8" localSheetId="4">#REF!</definedName>
    <definedName name="item7.8" localSheetId="5">#REF!</definedName>
    <definedName name="item7.8" localSheetId="2">#REF!</definedName>
    <definedName name="item7.8" localSheetId="6">#REF!</definedName>
    <definedName name="item7.8">#REF!</definedName>
    <definedName name="item7.9" localSheetId="8">#REF!</definedName>
    <definedName name="item7.9" localSheetId="7">#REF!</definedName>
    <definedName name="item7.9" localSheetId="4">#REF!</definedName>
    <definedName name="item7.9" localSheetId="5">#REF!</definedName>
    <definedName name="item7.9" localSheetId="2">#REF!</definedName>
    <definedName name="item7.9" localSheetId="6">#REF!</definedName>
    <definedName name="item7.9">#REF!</definedName>
    <definedName name="item8.1" localSheetId="8">#REF!</definedName>
    <definedName name="item8.1" localSheetId="7">#REF!</definedName>
    <definedName name="item8.1" localSheetId="4">#REF!</definedName>
    <definedName name="item8.1" localSheetId="5">#REF!</definedName>
    <definedName name="item8.1" localSheetId="2">#REF!</definedName>
    <definedName name="item8.1" localSheetId="6">#REF!</definedName>
    <definedName name="item8.1">#REF!</definedName>
    <definedName name="item8.2" localSheetId="8">#REF!</definedName>
    <definedName name="item8.2" localSheetId="7">#REF!</definedName>
    <definedName name="item8.2" localSheetId="4">#REF!</definedName>
    <definedName name="item8.2" localSheetId="5">#REF!</definedName>
    <definedName name="item8.2" localSheetId="2">#REF!</definedName>
    <definedName name="item8.2" localSheetId="6">#REF!</definedName>
    <definedName name="item8.2">#REF!</definedName>
    <definedName name="item8.3" localSheetId="8">#REF!</definedName>
    <definedName name="item8.3" localSheetId="7">#REF!</definedName>
    <definedName name="item8.3" localSheetId="4">#REF!</definedName>
    <definedName name="item8.3" localSheetId="5">#REF!</definedName>
    <definedName name="item8.3" localSheetId="2">#REF!</definedName>
    <definedName name="item8.3" localSheetId="6">#REF!</definedName>
    <definedName name="item8.3">#REF!</definedName>
    <definedName name="item8.4" localSheetId="8">#REF!</definedName>
    <definedName name="item8.4" localSheetId="7">#REF!</definedName>
    <definedName name="item8.4" localSheetId="4">#REF!</definedName>
    <definedName name="item8.4" localSheetId="5">#REF!</definedName>
    <definedName name="item8.4" localSheetId="2">#REF!</definedName>
    <definedName name="item8.4" localSheetId="6">#REF!</definedName>
    <definedName name="item8.4">#REF!</definedName>
    <definedName name="item8.5" localSheetId="8">#REF!</definedName>
    <definedName name="item8.5" localSheetId="7">#REF!</definedName>
    <definedName name="item8.5" localSheetId="4">#REF!</definedName>
    <definedName name="item8.5" localSheetId="5">#REF!</definedName>
    <definedName name="item8.5" localSheetId="2">#REF!</definedName>
    <definedName name="item8.5" localSheetId="6">#REF!</definedName>
    <definedName name="item8.5">#REF!</definedName>
    <definedName name="item8.6" localSheetId="8">#REF!</definedName>
    <definedName name="item8.6" localSheetId="7">#REF!</definedName>
    <definedName name="item8.6" localSheetId="4">#REF!</definedName>
    <definedName name="item8.6" localSheetId="5">#REF!</definedName>
    <definedName name="item8.6" localSheetId="2">#REF!</definedName>
    <definedName name="item8.6" localSheetId="6">#REF!</definedName>
    <definedName name="item8.6">#REF!</definedName>
    <definedName name="item9.1" localSheetId="8">#REF!</definedName>
    <definedName name="item9.1" localSheetId="7">#REF!</definedName>
    <definedName name="item9.1" localSheetId="4">#REF!</definedName>
    <definedName name="item9.1" localSheetId="5">#REF!</definedName>
    <definedName name="item9.1" localSheetId="2">#REF!</definedName>
    <definedName name="item9.1" localSheetId="6">#REF!</definedName>
    <definedName name="item9.1">#REF!</definedName>
    <definedName name="item9.2" localSheetId="8">#REF!</definedName>
    <definedName name="item9.2" localSheetId="7">#REF!</definedName>
    <definedName name="item9.2" localSheetId="4">#REF!</definedName>
    <definedName name="item9.2" localSheetId="5">#REF!</definedName>
    <definedName name="item9.2" localSheetId="2">#REF!</definedName>
    <definedName name="item9.2" localSheetId="6">#REF!</definedName>
    <definedName name="item9.2">#REF!</definedName>
    <definedName name="item9.3" localSheetId="8">#REF!</definedName>
    <definedName name="item9.3" localSheetId="7">#REF!</definedName>
    <definedName name="item9.3" localSheetId="4">#REF!</definedName>
    <definedName name="item9.3" localSheetId="5">#REF!</definedName>
    <definedName name="item9.3" localSheetId="2">#REF!</definedName>
    <definedName name="item9.3" localSheetId="6">#REF!</definedName>
    <definedName name="item9.3">#REF!</definedName>
    <definedName name="item9.4" localSheetId="8">#REF!</definedName>
    <definedName name="item9.4" localSheetId="7">#REF!</definedName>
    <definedName name="item9.4" localSheetId="4">#REF!</definedName>
    <definedName name="item9.4" localSheetId="5">#REF!</definedName>
    <definedName name="item9.4" localSheetId="2">#REF!</definedName>
    <definedName name="item9.4" localSheetId="6">#REF!</definedName>
    <definedName name="item9.4">#REF!</definedName>
    <definedName name="item9.5" localSheetId="8">#REF!</definedName>
    <definedName name="item9.5" localSheetId="7">#REF!</definedName>
    <definedName name="item9.5" localSheetId="4">#REF!</definedName>
    <definedName name="item9.5" localSheetId="5">#REF!</definedName>
    <definedName name="item9.5" localSheetId="2">#REF!</definedName>
    <definedName name="item9.5" localSheetId="6">#REF!</definedName>
    <definedName name="item9.5">#REF!</definedName>
    <definedName name="item9.6" localSheetId="8">#REF!</definedName>
    <definedName name="item9.6" localSheetId="7">#REF!</definedName>
    <definedName name="item9.6" localSheetId="4">#REF!</definedName>
    <definedName name="item9.6" localSheetId="5">#REF!</definedName>
    <definedName name="item9.6" localSheetId="2">#REF!</definedName>
    <definedName name="item9.6" localSheetId="6">#REF!</definedName>
    <definedName name="item9.6">#REF!</definedName>
    <definedName name="item9.7" localSheetId="8">#REF!</definedName>
    <definedName name="item9.7" localSheetId="7">#REF!</definedName>
    <definedName name="item9.7" localSheetId="4">#REF!</definedName>
    <definedName name="item9.7" localSheetId="5">#REF!</definedName>
    <definedName name="item9.7" localSheetId="2">#REF!</definedName>
    <definedName name="item9.7" localSheetId="6">#REF!</definedName>
    <definedName name="item9.7">#REF!</definedName>
    <definedName name="item9.8" localSheetId="8">#REF!</definedName>
    <definedName name="item9.8" localSheetId="7">#REF!</definedName>
    <definedName name="item9.8" localSheetId="4">#REF!</definedName>
    <definedName name="item9.8" localSheetId="5">#REF!</definedName>
    <definedName name="item9.8" localSheetId="2">#REF!</definedName>
    <definedName name="item9.8" localSheetId="6">#REF!</definedName>
    <definedName name="item9.8">#REF!</definedName>
    <definedName name="item9.9" localSheetId="8">#REF!</definedName>
    <definedName name="item9.9" localSheetId="7">#REF!</definedName>
    <definedName name="item9.9" localSheetId="4">#REF!</definedName>
    <definedName name="item9.9" localSheetId="5">#REF!</definedName>
    <definedName name="item9.9" localSheetId="2">#REF!</definedName>
    <definedName name="item9.9" localSheetId="6">#REF!</definedName>
    <definedName name="item9.9">#REF!</definedName>
    <definedName name="itm10.2" localSheetId="8">#REF!</definedName>
    <definedName name="itm10.2" localSheetId="7">#REF!</definedName>
    <definedName name="itm10.2" localSheetId="4">#REF!</definedName>
    <definedName name="itm10.2" localSheetId="5">#REF!</definedName>
    <definedName name="itm10.2" localSheetId="2">#REF!</definedName>
    <definedName name="itm10.2" localSheetId="6">#REF!</definedName>
    <definedName name="itm10.2">#REF!</definedName>
    <definedName name="Jd" localSheetId="8">#REF!</definedName>
    <definedName name="Jd" localSheetId="7">#REF!</definedName>
    <definedName name="Jd" localSheetId="0">#REF!</definedName>
    <definedName name="Jd" localSheetId="4">#REF!</definedName>
    <definedName name="Jd" localSheetId="1">#REF!</definedName>
    <definedName name="Jd" localSheetId="5">#REF!</definedName>
    <definedName name="Jd" localSheetId="2">#REF!</definedName>
    <definedName name="Jd" localSheetId="6">#REF!</definedName>
    <definedName name="Jd">#REF!</definedName>
    <definedName name="JJ" localSheetId="4">#REF!</definedName>
    <definedName name="JJ" localSheetId="5">#REF!</definedName>
    <definedName name="JJ" localSheetId="6">#REF!</definedName>
    <definedName name="JJ">#REF!</definedName>
    <definedName name="JJJ" localSheetId="4">#REF!</definedName>
    <definedName name="JJJ" localSheetId="5">#REF!</definedName>
    <definedName name="JJJ" localSheetId="6">#REF!</definedName>
    <definedName name="JJJ">#REF!</definedName>
    <definedName name="Jm" localSheetId="8">#REF!</definedName>
    <definedName name="Jm" localSheetId="7">#REF!</definedName>
    <definedName name="Jm" localSheetId="0">#REF!</definedName>
    <definedName name="Jm" localSheetId="4">#REF!</definedName>
    <definedName name="Jm" localSheetId="1">#REF!</definedName>
    <definedName name="Jm" localSheetId="5">#REF!</definedName>
    <definedName name="Jm" localSheetId="2">#REF!</definedName>
    <definedName name="Jm" localSheetId="6">#REF!</definedName>
    <definedName name="Jm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LL" localSheetId="4">#REF!</definedName>
    <definedName name="LL" localSheetId="5">#REF!</definedName>
    <definedName name="LL" localSheetId="6">#REF!</definedName>
    <definedName name="LL">#REF!</definedName>
    <definedName name="LLL" localSheetId="4">#REF!</definedName>
    <definedName name="LLL" localSheetId="5">#REF!</definedName>
    <definedName name="LLL" localSheetId="6">#REF!</definedName>
    <definedName name="LLL">#REF!</definedName>
    <definedName name="Lucro" localSheetId="8">#REF!</definedName>
    <definedName name="Lucro" localSheetId="7">#REF!</definedName>
    <definedName name="Lucro" localSheetId="0">#REF!</definedName>
    <definedName name="Lucro" localSheetId="4">#REF!</definedName>
    <definedName name="Lucro" localSheetId="1">#REF!</definedName>
    <definedName name="Lucro" localSheetId="5">#REF!</definedName>
    <definedName name="Lucro" localSheetId="2">#REF!</definedName>
    <definedName name="Lucro" localSheetId="6">#REF!</definedName>
    <definedName name="Lucro">#REF!</definedName>
    <definedName name="m" localSheetId="8">#REF!</definedName>
    <definedName name="m" localSheetId="7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M" localSheetId="4">#REF!</definedName>
    <definedName name="MM" localSheetId="5">#REF!</definedName>
    <definedName name="MM" localSheetId="6">#REF!</definedName>
    <definedName name="MM">#REF!</definedName>
    <definedName name="MMM" localSheetId="4">#REF!</definedName>
    <definedName name="MMM" localSheetId="5">#REF!</definedName>
    <definedName name="MMM" localSheetId="6">#REF!</definedName>
    <definedName name="MMM">#REF!</definedName>
    <definedName name="n" localSheetId="8">#REF!</definedName>
    <definedName name="n" localSheetId="7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OO" localSheetId="4">#REF!</definedName>
    <definedName name="OO" localSheetId="5">#REF!</definedName>
    <definedName name="OO" localSheetId="6">#REF!</definedName>
    <definedName name="OO">#REF!</definedName>
    <definedName name="OOO" localSheetId="4">#REF!</definedName>
    <definedName name="OOO" localSheetId="5">#REF!</definedName>
    <definedName name="OOO" localSheetId="6">#REF!</definedName>
    <definedName name="OOO">#REF!</definedName>
    <definedName name="PassaExtenso" localSheetId="5">[15]!PassaExtenso</definedName>
    <definedName name="PassaExtenso" localSheetId="6">[15]!PassaExtenso</definedName>
    <definedName name="PassaExtenso">[15]!PassaExtenso</definedName>
    <definedName name="Plan_ajustada" localSheetId="4">#REF!</definedName>
    <definedName name="Plan_ajustada" localSheetId="5">#REF!</definedName>
    <definedName name="Plan_ajustada" localSheetId="6">#REF!</definedName>
    <definedName name="Plan_ajustada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RR" localSheetId="4">#REF!</definedName>
    <definedName name="RR" localSheetId="5">#REF!</definedName>
    <definedName name="RR" localSheetId="6">#REF!</definedName>
    <definedName name="RR">#REF!</definedName>
    <definedName name="ss" localSheetId="4">#REF!</definedName>
    <definedName name="ss" localSheetId="5">#REF!</definedName>
    <definedName name="ss" localSheetId="6">#REF!</definedName>
    <definedName name="SS">#REF!</definedName>
    <definedName name="T" localSheetId="8">#REF!</definedName>
    <definedName name="T" localSheetId="7">#REF!</definedName>
    <definedName name="T" localSheetId="4">#REF!</definedName>
    <definedName name="T" localSheetId="5">#REF!</definedName>
    <definedName name="T" localSheetId="6">#REF!</definedName>
    <definedName name="T">#REF!</definedName>
    <definedName name="TT" localSheetId="4">#REF!</definedName>
    <definedName name="TT" localSheetId="5">#REF!</definedName>
    <definedName name="TT" localSheetId="6">#REF!</definedName>
    <definedName name="TT">#REF!</definedName>
    <definedName name="UU" localSheetId="4">#REF!</definedName>
    <definedName name="UU" localSheetId="5">#REF!</definedName>
    <definedName name="UU" localSheetId="6">#REF!</definedName>
    <definedName name="UU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XX" localSheetId="4">#REF!</definedName>
    <definedName name="XX" localSheetId="5">#REF!</definedName>
    <definedName name="XX" localSheetId="6">#REF!</definedName>
    <definedName name="XX">#REF!</definedName>
    <definedName name="YY" localSheetId="4">#REF!</definedName>
    <definedName name="YY" localSheetId="5">#REF!</definedName>
    <definedName name="YY" localSheetId="6">#REF!</definedName>
    <definedName name="YY">#REF!</definedName>
    <definedName name="ZZ" localSheetId="4">#REF!</definedName>
    <definedName name="ZZ" localSheetId="5">#REF!</definedName>
    <definedName name="ZZ" localSheetId="6">#REF!</definedName>
    <definedName name="ZZ">#REF!</definedName>
    <definedName name="_xlnm.Print_Titles" localSheetId="2">'MEMORIAL DE CÁLCULO'!$1:$15</definedName>
    <definedName name="_xlnm.Print_Titles" localSheetId="3">'ORÇAMENTO'!$1:$7</definedName>
    <definedName name="_xlnm.Print_Titles" localSheetId="4">'COMPOSIÇÕES DE PREÇOS UNIT.'!$1:$15</definedName>
    <definedName name="_xlnm.Print_Titles" localSheetId="5">'MEMÓRIA DE CÁLCULO ALTERADA'!$1:$15</definedName>
    <definedName name="_xlnm.Print_Titles" localSheetId="6">'PLANILHA VENCEDORA ATUALIZADA'!$1:$9</definedName>
    <definedName name="_xlnm.Print_Titles" localSheetId="7">'COMPOSIÇÃO'!$2:$13</definedName>
    <definedName name="_xlnm.Print_Titles" localSheetId="8">'BOLETIM DE MEDIÇÃO 01'!$1:$7</definedName>
  </definedNames>
  <calcPr calcId="181029"/>
  <extLst/>
</workbook>
</file>

<file path=xl/sharedStrings.xml><?xml version="1.0" encoding="utf-8"?>
<sst xmlns="http://schemas.openxmlformats.org/spreadsheetml/2006/main" count="1719" uniqueCount="604">
  <si>
    <t>ITEM</t>
  </si>
  <si>
    <t>UNID</t>
  </si>
  <si>
    <t>QUANT.</t>
  </si>
  <si>
    <t>1.0</t>
  </si>
  <si>
    <t>2.0</t>
  </si>
  <si>
    <t>FUNDAÇÕES</t>
  </si>
  <si>
    <t>2.1</t>
  </si>
  <si>
    <t>3.0</t>
  </si>
  <si>
    <t>3.1</t>
  </si>
  <si>
    <t>4.0</t>
  </si>
  <si>
    <t>4.1</t>
  </si>
  <si>
    <t>5.0</t>
  </si>
  <si>
    <t>5.1</t>
  </si>
  <si>
    <t>6.0</t>
  </si>
  <si>
    <t>6.1</t>
  </si>
  <si>
    <t>7.0</t>
  </si>
  <si>
    <t>7.1</t>
  </si>
  <si>
    <t>8.0</t>
  </si>
  <si>
    <t>REVESTIMENTO</t>
  </si>
  <si>
    <t>PINTURA</t>
  </si>
  <si>
    <t>DIVERSOS</t>
  </si>
  <si>
    <t>SERVIÇOS PRELIMINARES</t>
  </si>
  <si>
    <t>3.2</t>
  </si>
  <si>
    <t>V. Unit.
R$</t>
  </si>
  <si>
    <t>V. TOTAL
R$</t>
  </si>
  <si>
    <t>ESPECIFICAÇÕES/DESCRIÇÃO</t>
  </si>
  <si>
    <t>FONTE DO V. UNIT.</t>
  </si>
  <si>
    <t>BDI</t>
  </si>
  <si>
    <t>SEM BDI</t>
  </si>
  <si>
    <t>4.2</t>
  </si>
  <si>
    <t>7.2</t>
  </si>
  <si>
    <t>ESTADO DA PARAÍBA</t>
  </si>
  <si>
    <t>MOVIMENTO DE TERRA</t>
  </si>
  <si>
    <t>ESTRUTURA DE CONCRETO</t>
  </si>
  <si>
    <t>ELEVAÇÃO</t>
  </si>
  <si>
    <t>73982/001</t>
  </si>
  <si>
    <t>6.2</t>
  </si>
  <si>
    <t>ESQUADRIAS</t>
  </si>
  <si>
    <t>4.3</t>
  </si>
  <si>
    <t>C.P.U.</t>
  </si>
  <si>
    <t xml:space="preserve">                                                                                                                                 </t>
  </si>
  <si>
    <t xml:space="preserve">LOCAL: </t>
  </si>
  <si>
    <t xml:space="preserve">OBRA: </t>
  </si>
  <si>
    <t>73924/002</t>
  </si>
  <si>
    <t>74053/003</t>
  </si>
  <si>
    <t>73927/008</t>
  </si>
  <si>
    <t>CONCRETO ARMADO FCK=20,0mpa, FABRICADO EM OBRA, ADENSADO E LANÇADO, PARA USO GERAL, COM FORMAS PLANAS EM COMPENSADO RESINADO 14mm (03 USOS) para Pilares</t>
  </si>
  <si>
    <t>ALVENARIA EM PEDRA RACHAO OU PEDRA DE MAO, ASSENTADA COM ARGAMASSA TRACO 1:10 (CIMENTO E AREIA)</t>
  </si>
  <si>
    <t>ALVENARIA EM TIJOLO CERAMICO FURADO 10X20X20CM, 1 VEZ, ASSENTADO EM ARGAMASSA TRACO 1:2:8 (CIMENTO, CAL E AREIA), JUNTAS 10MM</t>
  </si>
  <si>
    <t>ALVENARIA EM TIJOLO CERAMICO FURADO 10X20X20CM, 1/2 VEZ, ASSENTADO EM ARGAMASSA TRACO 1:2:8 (CIMENTO, CAL E AREIA), JUNTAS 12MM</t>
  </si>
  <si>
    <t>EMBOCO PAULISTA (MASSA UNICA) TRACO 1:2:8 (CIMENTO, CAL E AREIA), ESPESSURA 1,5CM, PREPARO MANUAL</t>
  </si>
  <si>
    <t>PINTURA ESMALTE ACETINADO, DUAS DEMAOS, PARA FERRO</t>
  </si>
  <si>
    <t>m2</t>
  </si>
  <si>
    <t>m3</t>
  </si>
  <si>
    <t>73928/001</t>
  </si>
  <si>
    <t>CHAPISCO EM PAREDES TRACO 1:4 (CIMENTO E AREIA), ESPESSURA 0,5CM, PREPARO MANUAL</t>
  </si>
  <si>
    <t>79334/001</t>
  </si>
  <si>
    <t>PINTURA A CAL 2 DEMAOS C/ FIXADOR</t>
  </si>
  <si>
    <t>73987/001</t>
  </si>
  <si>
    <t>ESCAVACAO MANUAL DE VALA EM MATERIAL DE 1A CATEGORIA ATE 1,5M EXCLUINDO ESGOTAMENTO / ESCORAMENTO</t>
  </si>
  <si>
    <t>73965/010</t>
  </si>
  <si>
    <t>PLACA DE OBRA EM CHAPA DE AÇO GALVANIZADO</t>
  </si>
  <si>
    <t>74209/001</t>
  </si>
  <si>
    <t>3.3</t>
  </si>
  <si>
    <t>CONCRETO ARMADO FCK=20,0mpa, FABRICADO EM OBRA, ADENSADO E LANÇADO, PARA USO GERAL, COM FORMAS PLANAS EM COMPENSADO RESINADO 14mm (03 USOS) para cinta</t>
  </si>
  <si>
    <t>1.1</t>
  </si>
  <si>
    <t>M2</t>
  </si>
  <si>
    <t>8.1</t>
  </si>
  <si>
    <t>8.2</t>
  </si>
  <si>
    <t>UND</t>
  </si>
  <si>
    <t>M</t>
  </si>
  <si>
    <t>MURADA DA CRECHE</t>
  </si>
  <si>
    <t>MEMORIA</t>
  </si>
  <si>
    <t>CONCRETO ARMADO FCK=20,0mpa, FABRICADO EM OBRA, ADENSADO E LANÇADO, PARA USO GERAL, COM FORMAS PLANAS EM COMPENSADO RESINADO 14mm (03 USOS) para radier</t>
  </si>
  <si>
    <t>RAMPA DE ACESSIBILIDADE</t>
  </si>
  <si>
    <t>8.3</t>
  </si>
  <si>
    <t xml:space="preserve">TOTAL GERAL </t>
  </si>
  <si>
    <t xml:space="preserve">73932/001 </t>
  </si>
  <si>
    <t>73892/002</t>
  </si>
  <si>
    <t xml:space="preserve"> EXECUÇÃO DE CALÇADA EM CONCRETO 1:3:5 (FCK=12 MPA) PREPARO MECÂNICO, E= 7CM</t>
  </si>
  <si>
    <t xml:space="preserve">74168/001 </t>
  </si>
  <si>
    <t>REDE DE ESGOTO EM TUBO DE PVC 150MM FORNECIMENTO E INSTALACAO</t>
  </si>
  <si>
    <t>GRADE DE FERRO EM BARRA CHATA 3/16"</t>
  </si>
  <si>
    <t>Rua Projetada II, Loteamento Muriá</t>
  </si>
  <si>
    <t>PREFEITURA MUNICIPAL DE NOVA OLINDA</t>
  </si>
  <si>
    <t>Encargos Sociais:</t>
  </si>
  <si>
    <t>B.D.I.:</t>
  </si>
  <si>
    <t>Data Base:</t>
  </si>
  <si>
    <r>
      <rPr>
        <sz val="10"/>
        <rFont val="Arial"/>
        <family val="2"/>
      </rPr>
      <t>ITEM:</t>
    </r>
    <r>
      <rPr>
        <b/>
        <sz val="10"/>
        <rFont val="Arial"/>
        <family val="2"/>
      </rPr>
      <t xml:space="preserve"> PONTO DE LUZ EM TETO OU PAREDE, COM ELETRODUTO DE PVC FLEXÍVEL SANFONADO EMBUTIDO ø 3/4"</t>
    </r>
  </si>
  <si>
    <r>
      <rPr>
        <sz val="11"/>
        <rFont val="Arial"/>
        <family val="2"/>
      </rPr>
      <t>Unid.</t>
    </r>
    <r>
      <rPr>
        <b/>
        <sz val="11"/>
        <rFont val="Arial"/>
        <family val="2"/>
      </rPr>
      <t xml:space="preserve">: </t>
    </r>
  </si>
  <si>
    <t>unid.</t>
  </si>
  <si>
    <t>Custo unit.</t>
  </si>
  <si>
    <t>CÓDIGO SINAPI REFERENCIAL</t>
  </si>
  <si>
    <t>Item</t>
  </si>
  <si>
    <t>Unid</t>
  </si>
  <si>
    <t>Quant.</t>
  </si>
  <si>
    <t>Valor</t>
  </si>
  <si>
    <t>Sub Total</t>
  </si>
  <si>
    <t>Equipamento:</t>
  </si>
  <si>
    <t>COM BDI</t>
  </si>
  <si>
    <t>Mão de Obra:</t>
  </si>
  <si>
    <t>Eletricista</t>
  </si>
  <si>
    <t>h</t>
  </si>
  <si>
    <t>Servente</t>
  </si>
  <si>
    <t>Material:</t>
  </si>
  <si>
    <t>Eletroduto PVC flexível corrugado 20 mm tipo TIGREFLEX ou equiv.</t>
  </si>
  <si>
    <t>m</t>
  </si>
  <si>
    <t>Fio rígido, isolação em PVC 450/750V 2,5mm²</t>
  </si>
  <si>
    <t>0939</t>
  </si>
  <si>
    <t>Fita isolante adesiva anti-chama, uso até 750 V, em rolo de 19 mm X 20 m</t>
  </si>
  <si>
    <t>und</t>
  </si>
  <si>
    <t>Caixa PVC octogonal - 4"</t>
  </si>
  <si>
    <t>Custo sem B.D.I.:</t>
  </si>
  <si>
    <t>R$</t>
  </si>
  <si>
    <t>B.D.I.</t>
  </si>
  <si>
    <t>Custo deste serviço</t>
  </si>
  <si>
    <r>
      <rPr>
        <sz val="10"/>
        <rFont val="Arial"/>
        <family val="2"/>
      </rPr>
      <t>ITEM:</t>
    </r>
    <r>
      <rPr>
        <b/>
        <sz val="10"/>
        <rFont val="Arial"/>
        <family val="2"/>
      </rPr>
      <t xml:space="preserve"> PONTO DE TOMADA 2p +T, ABNT, DE EMBUTIR, 15 A, COM ELETRODUTO DE PVC FLEXÍVEL SANFONADO EMBUTIDO ø 3/4", FIO RÍGIDO 2,5 MM² (FIO 12), INCLUSIVE PLACA EM PVC E ATERRAMENTO</t>
    </r>
  </si>
  <si>
    <t>Caixa PVC  4" X 2" para eletroduto</t>
  </si>
  <si>
    <t>Tomada embutir 2P + T 15A/250V com placa, tipo SILENTOQUE ou equiv.</t>
  </si>
  <si>
    <r>
      <t>m</t>
    </r>
    <r>
      <rPr>
        <b/>
        <sz val="14"/>
        <rFont val="Arial"/>
        <family val="2"/>
      </rPr>
      <t>³</t>
    </r>
  </si>
  <si>
    <t>Betoneira 320L elétrica trifásica 3HP s/ carregador mecanico</t>
  </si>
  <si>
    <t>Armador</t>
  </si>
  <si>
    <t>0378</t>
  </si>
  <si>
    <t>Carpinteiro de formas</t>
  </si>
  <si>
    <t>Pedreiro</t>
  </si>
  <si>
    <t>Barra aço CA 50 diam 8,0 a 12,5mm</t>
  </si>
  <si>
    <t>kg</t>
  </si>
  <si>
    <t>Arame recozido 18 bwg - 1,25mm - 9,60 g/m</t>
  </si>
  <si>
    <t>Kg</t>
  </si>
  <si>
    <t>0337</t>
  </si>
  <si>
    <t>Areia grossa</t>
  </si>
  <si>
    <t>m³</t>
  </si>
  <si>
    <t>0367</t>
  </si>
  <si>
    <t xml:space="preserve">Pedra britada n.1 </t>
  </si>
  <si>
    <t>Pedra britada n.2</t>
  </si>
  <si>
    <t>Cimento Portland CPII</t>
  </si>
  <si>
    <t>Chapa madeira compensada resinada 2,20x1,10m x 14mm p/ forma concreto</t>
  </si>
  <si>
    <t>m²</t>
  </si>
  <si>
    <t>Desmoldante para forma de madeira</t>
  </si>
  <si>
    <t>l</t>
  </si>
  <si>
    <t>Peça de madeira 3a qualidade 2,5x10cm não aparelhada</t>
  </si>
  <si>
    <t>Peça de madeira 3a/4a qualidade 7,5x7,5cm (3x3) não aprelhada</t>
  </si>
  <si>
    <t>Pregos de aco 18x27</t>
  </si>
  <si>
    <r>
      <rPr>
        <sz val="10"/>
        <rFont val="Arial"/>
        <family val="2"/>
      </rPr>
      <t>ITEM:</t>
    </r>
    <r>
      <rPr>
        <b/>
        <sz val="10"/>
        <rFont val="Arial"/>
        <family val="2"/>
      </rPr>
      <t xml:space="preserve"> PONTO DE TOMADA 2p +T, ABNT, PARA AR CONDICIONADO ATÉ 3000 W, COM ELETRODUTO DE PVC FLEXÍVEL SANFONADO EMBUTIDO ø 3/4", INCLUINDO CONJUNTO ASTOP/25A - 220v, INCLUSIVE ATERRAMENTO</t>
    </r>
  </si>
  <si>
    <t>Fio rígido, isolação em PVC 450/750V 4,0mm²</t>
  </si>
  <si>
    <t>0944</t>
  </si>
  <si>
    <t>Conjunto ARSTOP para ar condicionado com disjuntor 25A</t>
  </si>
  <si>
    <t>CRONOGRAMA FÍSICO-FINANCEIRO</t>
  </si>
  <si>
    <t>Discrim. dos Serviços</t>
  </si>
  <si>
    <t>Total</t>
  </si>
  <si>
    <t>9.0</t>
  </si>
  <si>
    <t>TOTAL R$</t>
  </si>
  <si>
    <t>%</t>
  </si>
  <si>
    <t>% acumulado</t>
  </si>
  <si>
    <t>1.2</t>
  </si>
  <si>
    <t>LOCAÇÃO DE ALVENARIA</t>
  </si>
  <si>
    <t>SINAPI Referencial JULHO/2013</t>
  </si>
  <si>
    <t>CONSTRUÇÃO DO MURO DA CRECHE PROINFÂNCIA - TIPO C</t>
  </si>
  <si>
    <t>Barra aço CA 50 diam 6,3 a 8,00 mm</t>
  </si>
  <si>
    <t>0032/0033</t>
  </si>
  <si>
    <t>0033/0034/0031</t>
  </si>
  <si>
    <r>
      <rPr>
        <sz val="10"/>
        <rFont val="Arial"/>
        <family val="2"/>
      </rPr>
      <t>ITEM:</t>
    </r>
    <r>
      <rPr>
        <b/>
        <sz val="10"/>
        <rFont val="Arial"/>
        <family val="2"/>
      </rPr>
      <t xml:space="preserve"> CONCRETO ARMADO FCK=20,0mpa, FABRICADO EM OBRA, ADENSADO E LANÇADO, PARA USO GERAL, COM FORMAS PLANAS EM COMPENSADO RESINADO 14mm (03 USOS) - PARA FUNDAÇÃO</t>
    </r>
  </si>
  <si>
    <r>
      <rPr>
        <sz val="10"/>
        <rFont val="Arial"/>
        <family val="2"/>
      </rPr>
      <t>ITEM:</t>
    </r>
    <r>
      <rPr>
        <b/>
        <sz val="10"/>
        <rFont val="Arial"/>
        <family val="2"/>
      </rPr>
      <t xml:space="preserve"> CONCRETO ARMADO FCK=20,0mpa, FABRICADO EM OBRA, ADENSADO E LANÇADO, PARA USO GERAL, COM FORMAS PLANAS EM COMPENSADO RESINADO 14mm (03 USOS) - PARA RADIER, CINTAS E PILARES</t>
    </r>
  </si>
  <si>
    <t>CONCRETO ARMADO FCK=18mpa, FABRICADO EM OBRA, ADENSADO E LANÇADO, PARA USO GERAL, COM FORMAS PLANAS EM COMPENSADO RESINADO 14mm (03 USOS) para Fundação</t>
  </si>
  <si>
    <t>PORTAO DE FERRO EM CHAPA GALVANIZADA PLANA 14 GSG</t>
  </si>
  <si>
    <r>
      <t xml:space="preserve">OBRA: </t>
    </r>
    <r>
      <rPr>
        <sz val="11"/>
        <rFont val="Arial"/>
        <family val="2"/>
      </rPr>
      <t>CONSTRUÇÃO DO MURO DA CRECHE PROINFÂNCIA - TIPO C</t>
    </r>
  </si>
  <si>
    <t xml:space="preserve">ENCARGOS SOCIAIS: 116,37%           BDI: 25%                            </t>
  </si>
  <si>
    <t>BOLETIM DE MEDIÇÃO 01 - DATA: 19/02/2014</t>
  </si>
  <si>
    <t>QUANT. MEDIDA</t>
  </si>
  <si>
    <t>QUANT. PREVISTA</t>
  </si>
  <si>
    <t>V. TOTAL MEDIDO
R$</t>
  </si>
  <si>
    <t>V. TOTAL PREVISTO
R$</t>
  </si>
  <si>
    <t>MEMORIA MEDIDA</t>
  </si>
  <si>
    <t>TOTAL GERAL :</t>
  </si>
  <si>
    <t>MEDIDO</t>
  </si>
  <si>
    <t>PREVISTO</t>
  </si>
  <si>
    <t>FEVEREIRO/2014</t>
  </si>
  <si>
    <r>
      <t xml:space="preserve">LOCAL: </t>
    </r>
    <r>
      <rPr>
        <sz val="12"/>
        <rFont val="Arial"/>
        <family val="2"/>
      </rPr>
      <t>Rua Projetada II, Loteamento Muriá, Nova Olinda-PB</t>
    </r>
  </si>
  <si>
    <t>MEMORIAL DE CÁLCULO</t>
  </si>
  <si>
    <t>PLANILHA ORÇAMENTÁRIA</t>
  </si>
  <si>
    <t>COMPOSIÇÃO DE PREÇOS UNITÁRIOS (C.P.U)</t>
  </si>
  <si>
    <t>EXECUÇÃO DE COMPLEMENTAÇÃO DE MEIO FIO</t>
  </si>
  <si>
    <t>Rua Antônio Gonçalves, Centro</t>
  </si>
  <si>
    <t>SINAPI Referencial FEV/2016 C/ DESONERAÇÃO</t>
  </si>
  <si>
    <t>PAVIMENTAÇÃO</t>
  </si>
  <si>
    <t>EXECUÇÃO DE MEIO-FIO EM PEDRA GRANITICA, REJUNTADO C/ARGAMASSA CIMENTO E AREIA 1:3</t>
  </si>
  <si>
    <t>EXECUÇÃO DE ESCAVACAO MANUAL DE VALA EM MATERIAL DE 1A CATEGORIA ATE 1,5M EXCLUINDO ESGOTAMENTO / ESCORAMENTO</t>
  </si>
  <si>
    <t>COMPOSIÇÃO DE PREÇOS</t>
  </si>
  <si>
    <t>Código / SINAPI</t>
  </si>
  <si>
    <t>Descrição</t>
  </si>
  <si>
    <t>Unidade</t>
  </si>
  <si>
    <t>Coeficiente</t>
  </si>
  <si>
    <t>Preço</t>
  </si>
  <si>
    <t>MAO DE OBRA</t>
  </si>
  <si>
    <t>6111 / INSUMO</t>
  </si>
  <si>
    <t>TOTAL MAO DE OBRA</t>
  </si>
  <si>
    <t>MATERIAIS</t>
  </si>
  <si>
    <t>TOTAL MATERIAIS</t>
  </si>
  <si>
    <t>TOTAL GERAL (SEM BDI)</t>
  </si>
  <si>
    <t>Calceteiro</t>
  </si>
  <si>
    <t>4759 / INSUMO</t>
  </si>
  <si>
    <t xml:space="preserve">ENCARGOS SOCIAIS: 87,93%           BDI: 24,23%                            </t>
  </si>
  <si>
    <t xml:space="preserve">ENCARGOS SOCIAIS: 87,29%           BDI: 24,00%                            </t>
  </si>
  <si>
    <t>EXECUÇÃO DE REFORMA DE CANTEIROS DA RUA TIRADENTES</t>
  </si>
  <si>
    <t xml:space="preserve">
ESTADO DA PARAÍBA                                                                                                                                                   PREFEITURA MUNICIPAL DE NOVA OLINDA                                                                                                      COMPOSIÇÃO DE PREÇOS UNITÁRIOS</t>
  </si>
  <si>
    <t>Encargos Sociais =</t>
  </si>
  <si>
    <t>B.D.I. =</t>
  </si>
  <si>
    <t>OBS: OS ENCARGOS SOCIAIS JÁ ESTÃO INCLUSOS NOS PREÇOS UNITÁRIOS DE MÃO DE OBRA</t>
  </si>
  <si>
    <t>COMPOSIÇÃO DE PREÇOS UNITARIOS (C.P.U)</t>
  </si>
  <si>
    <r>
      <t xml:space="preserve">ITEM: </t>
    </r>
    <r>
      <rPr>
        <b/>
        <sz val="12"/>
        <rFont val="Times New Roman"/>
        <family val="1"/>
      </rPr>
      <t>Locação de praças com piquetes de madeira</t>
    </r>
  </si>
  <si>
    <r>
      <t xml:space="preserve">Unidade: </t>
    </r>
    <r>
      <rPr>
        <b/>
        <sz val="12"/>
        <rFont val="Times New Roman"/>
        <family val="1"/>
      </rPr>
      <t>m²</t>
    </r>
  </si>
  <si>
    <t>(obs: composição de preço com fonte no SINAPI)</t>
  </si>
  <si>
    <t xml:space="preserve">Custos da Composição </t>
  </si>
  <si>
    <t>Custo</t>
  </si>
  <si>
    <t>Unit.</t>
  </si>
  <si>
    <t>Sub-Total</t>
  </si>
  <si>
    <t>SINAPI</t>
  </si>
  <si>
    <t>INSUMOS 08/2017 (C/ DESONERAÇÃO)</t>
  </si>
  <si>
    <t>-</t>
  </si>
  <si>
    <t>Topógrafo</t>
  </si>
  <si>
    <t>hora</t>
  </si>
  <si>
    <t>88253</t>
  </si>
  <si>
    <t>Auxiliar de Topografia</t>
  </si>
  <si>
    <t>Peça de madeira 2ª qualidade (pinho) 5 x 5cm não aparelhada</t>
  </si>
  <si>
    <t>Prego de aço polido com cabeça 15x 18 (1 1/2" x 13")</t>
  </si>
  <si>
    <t>Custo Sem B.D.I.</t>
  </si>
  <si>
    <t xml:space="preserve">B.D.I. </t>
  </si>
  <si>
    <t>Custos Deste Serviço:</t>
  </si>
  <si>
    <r>
      <t xml:space="preserve">ITEM: </t>
    </r>
    <r>
      <rPr>
        <b/>
        <sz val="12"/>
        <rFont val="Times New Roman"/>
        <family val="1"/>
      </rPr>
      <t>Lixeira individual para coleta seletiva com poste, cap. 40 litros</t>
    </r>
  </si>
  <si>
    <r>
      <t xml:space="preserve">Unidade: </t>
    </r>
    <r>
      <rPr>
        <b/>
        <sz val="12"/>
        <rFont val="Times New Roman"/>
        <family val="1"/>
      </rPr>
      <t>und</t>
    </r>
  </si>
  <si>
    <t>73965/009</t>
  </si>
  <si>
    <t>Escavação manual de vala em lodo, de 1,5 ate 3m, excluindo esgotamento/escoramento.</t>
  </si>
  <si>
    <t>M³</t>
  </si>
  <si>
    <t>94963</t>
  </si>
  <si>
    <t>Concreto fck = 15mpa, traço 1:3,4:3,5 (cimento/ areia média/ brita 1)preparo mecânico com betoneira 400 l.</t>
  </si>
  <si>
    <t>ver cotação em anexo</t>
  </si>
  <si>
    <t>Lixeira individual para coleta seletiva com poste, cap. 40 litros, abertura frontal</t>
  </si>
  <si>
    <r>
      <t xml:space="preserve">ITEM: </t>
    </r>
    <r>
      <rPr>
        <b/>
        <sz val="12"/>
        <rFont val="Times New Roman"/>
        <family val="1"/>
      </rPr>
      <t>Rampa para acesso de deficientes em concreto simples (traço 1:3:5), com pintura indicativa e sinalização táctil (NBR 9050/04) (obs: composição de preço com fonte no sistema ORSE - Sergipe, conforme código 03743/ORSE)</t>
    </r>
  </si>
  <si>
    <r>
      <t xml:space="preserve">Unidade: </t>
    </r>
    <r>
      <rPr>
        <b/>
        <sz val="12"/>
        <rFont val="Times New Roman"/>
        <family val="1"/>
      </rPr>
      <t>Und</t>
    </r>
  </si>
  <si>
    <t>Pintor</t>
  </si>
  <si>
    <t>0370</t>
  </si>
  <si>
    <t>Areia média</t>
  </si>
  <si>
    <t>Cimento Portland comum CP II - 32</t>
  </si>
  <si>
    <t>Pedra britada nº 02 (25 mm)</t>
  </si>
  <si>
    <t>Tinta acrílica premium para piso</t>
  </si>
  <si>
    <t>L</t>
  </si>
  <si>
    <t>Ladrilho hidráulico, *20 X 20* cm, e=2 cm, rampa, natural</t>
  </si>
  <si>
    <t>M²</t>
  </si>
  <si>
    <t>Ladrilho hidráulico, *20 X 20* cm, e=2 cm, tátil alerta ou direcional, amarelo</t>
  </si>
  <si>
    <t>Argamassa ou cimento colante em pó para fixação de peças cerâmicas</t>
  </si>
  <si>
    <r>
      <t xml:space="preserve">ITEM: </t>
    </r>
    <r>
      <rPr>
        <b/>
        <sz val="12"/>
        <rFont val="Times New Roman"/>
        <family val="1"/>
      </rPr>
      <t>Banco em pranchão de madeira 2,0x0,50x0,04m-envernizada, confeccionado c/ tubos de aço galvanizado-rosca, d=2 1/2", pintados com epoxi e esmalte (obs: composição de preço com fonte no sistema ORSE - Sergipe, conforme código 02445/ORSE)</t>
    </r>
  </si>
  <si>
    <t>INSUMOS 01/2017 (C/ DESONERAÇÃO)</t>
  </si>
  <si>
    <t>88245</t>
  </si>
  <si>
    <t>Carpinteiro</t>
  </si>
  <si>
    <t>Soldador</t>
  </si>
  <si>
    <t>Solvente diluente a base de aguarrás</t>
  </si>
  <si>
    <t>4721</t>
  </si>
  <si>
    <t>Pedra britada nº 01 (25 mm)</t>
  </si>
  <si>
    <t>4718</t>
  </si>
  <si>
    <t>10997</t>
  </si>
  <si>
    <t>Eletrodo AWS E-7018 d = 4 mm</t>
  </si>
  <si>
    <t>3989</t>
  </si>
  <si>
    <t>Madeira de lei nativa/regional serrada e aparelhada</t>
  </si>
  <si>
    <t>3768</t>
  </si>
  <si>
    <t>Lixa para ferro</t>
  </si>
  <si>
    <t>3767</t>
  </si>
  <si>
    <t>Lixa para madeira</t>
  </si>
  <si>
    <t>0154</t>
  </si>
  <si>
    <t>Tinta à base de alcatrão e epóxi</t>
  </si>
  <si>
    <t>7311</t>
  </si>
  <si>
    <t>Tinta esmalte sintético acetinado</t>
  </si>
  <si>
    <t>10478</t>
  </si>
  <si>
    <t>Verniz poliuretano brilhante</t>
  </si>
  <si>
    <t>7307</t>
  </si>
  <si>
    <t>Fundo anticorrosivo tipo zarcão</t>
  </si>
  <si>
    <t>Tubo aço galvanizado c/ costura NBR 5580 classe leve DN 65mm ( 2. 1/2" ) e = 3,35mm - 6,23Kg/m</t>
  </si>
  <si>
    <r>
      <t>ITEM:</t>
    </r>
    <r>
      <rPr>
        <b/>
        <sz val="12"/>
        <rFont val="Times New Roman"/>
        <family val="1"/>
      </rPr>
      <t xml:space="preserve"> Revestimento em mármore (Obs: Composição com fonte no TCPO, item 15410.8.4.1)</t>
    </r>
  </si>
  <si>
    <r>
      <t xml:space="preserve">Unidade: </t>
    </r>
    <r>
      <rPr>
        <b/>
        <sz val="12"/>
        <rFont val="Times New Roman"/>
        <family val="1"/>
      </rPr>
      <t>M²</t>
    </r>
  </si>
  <si>
    <t>Areia lavada tipo média</t>
  </si>
  <si>
    <t>Cimento Portland CP II-E-32</t>
  </si>
  <si>
    <t>Bancada/ banca em marmore, polido, branco comum, e= *3* cm</t>
  </si>
  <si>
    <r>
      <t>ITEM:</t>
    </r>
    <r>
      <rPr>
        <b/>
        <sz val="12"/>
        <rFont val="Times New Roman"/>
        <family val="1"/>
      </rPr>
      <t xml:space="preserve"> Execução de pavimento em piso intertravado, cor natural, bloquete 20x10cm, espessura 6 cm.  (Obs: Composição com fonte no SINAPI, item 92393)</t>
    </r>
  </si>
  <si>
    <t>Calceteiro com encargos complementares</t>
  </si>
  <si>
    <t>Servente com encargos complementares</t>
  </si>
  <si>
    <t>Pó de pedra</t>
  </si>
  <si>
    <t>cotação</t>
  </si>
  <si>
    <t>Intertravado natural 20x10cm, 
e=6cm, com frete</t>
  </si>
  <si>
    <t xml:space="preserve">Placa vibratória reversível com motor 4 tempos a gasolina, força centrífuga de 25 kn (2500 kgf), potência 5,5 cv - chp diurno. </t>
  </si>
  <si>
    <t>chp</t>
  </si>
  <si>
    <t xml:space="preserve"> Placa vibratória reversível com motor 4 tempos a gasolina, força centrífuga de 25 kn (2500 kgf), potência 5,5 cv - chi diurno. </t>
  </si>
  <si>
    <t>chi</t>
  </si>
  <si>
    <t>Cortadora de piso com motor 4 tempos a gasolina, potência de 13 hp, com disco de corte diamantado segmentado para concreto, diâmetro de 350 mm, furo de 1" (14 x 1") - chp diurno.</t>
  </si>
  <si>
    <t xml:space="preserve">Cortadora de piso com motor 4 tempos a gasolina, potência de 13 hp, com disco de corte diamantado segmentado para concreto, diâmetro de 350 mm, furo de 1" (14 x 1") - chi diurno. </t>
  </si>
  <si>
    <r>
      <t>ITEM:</t>
    </r>
    <r>
      <rPr>
        <b/>
        <sz val="12"/>
        <rFont val="Times New Roman"/>
        <family val="1"/>
      </rPr>
      <t xml:space="preserve"> Plantio de árvore regional, altura maior que 2,00m, em cavas 0,80 x 0,80 x 0,80 m</t>
    </r>
  </si>
  <si>
    <t>Jardineiro com encargos complementares</t>
  </si>
  <si>
    <t>Muda de arvore ornamental, oiti/aroeira salsa/angico/ipe/jacaranda ou equivalente da regiao, h= *2* m</t>
  </si>
  <si>
    <t>Areia media - posto jazida/fornecedor (retirado na jazida, sem transporte)</t>
  </si>
  <si>
    <t>Terra vegetal (granel)</t>
  </si>
  <si>
    <t>Fertilizante npk - 10:10:10</t>
  </si>
  <si>
    <t>Calcario dolomitico a (posto pedreira/fornecedor, sem frete)</t>
  </si>
  <si>
    <t xml:space="preserve"> Fertilizante organico composto, classe a</t>
  </si>
  <si>
    <r>
      <t>ITEM:</t>
    </r>
    <r>
      <rPr>
        <b/>
        <sz val="12"/>
        <rFont val="Times New Roman"/>
        <family val="1"/>
      </rPr>
      <t xml:space="preserve"> Plantio de árvore, altura de 1,00m, em cavas 0,80 x 0,80 x 0,80 m</t>
    </r>
  </si>
  <si>
    <t>Muda de arvore ornamental, oiti/aroeira salsa/angico/ipe/jacaranda ou equivalente da regiao, h= *1* m</t>
  </si>
  <si>
    <r>
      <t xml:space="preserve">ITEM: </t>
    </r>
    <r>
      <rPr>
        <b/>
        <sz val="12"/>
        <rFont val="Times New Roman"/>
        <family val="1"/>
      </rPr>
      <t>Monumento (Nome da cidade)</t>
    </r>
  </si>
  <si>
    <t>(obs: composição de preço com fonte no sistema ORSE - Sergipe, conforme código 09367/ORSE)</t>
  </si>
  <si>
    <t>03782/ORSE</t>
  </si>
  <si>
    <t>Concreto simples fabricado na obra, fck=10 mpa, lançado e adensado</t>
  </si>
  <si>
    <t>00141/ORSE</t>
  </si>
  <si>
    <t>Aço CA - 60 Ø 4,2 a 9,5mm, inclusive corte, dobragem, montagem e colocacao de ferragens nas formas, para superestruturas e fundações</t>
  </si>
  <si>
    <t>74157/004</t>
  </si>
  <si>
    <t>Lançamento/aplicação manual de concreto</t>
  </si>
  <si>
    <t>Montagem e desmontagem de fôrma de pilares retangulares e estruturas similares com área média das seções maior que 0,25 m², pé-direito simples, em chapa de madeira compensada plastificada, 18 utilizações</t>
  </si>
  <si>
    <r>
      <t xml:space="preserve">ITEM: </t>
    </r>
    <r>
      <rPr>
        <b/>
        <sz val="12"/>
        <rFont val="Times New Roman"/>
        <family val="1"/>
      </rPr>
      <t>Pérgola em Madeira aparelhada, contendo 04 pilares verticais com seção de madeira 7,50 x 7,50 cm e comprimento de 2,50 m dando apoio a 07 vigas horizontais, também de madeira de seção 7,50 x 7,50 cm, com 1,80 m de comprimento - fornecimento e assentamento</t>
    </r>
  </si>
  <si>
    <t>Peça de madeira (massaranduba) aparelhada</t>
  </si>
  <si>
    <t>Und</t>
  </si>
  <si>
    <t>Prego polido com cabeça 16 x 24</t>
  </si>
  <si>
    <r>
      <t>ITEM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Caixa de passagem, de embutir, dimensões 150 X 150 X 75 mm</t>
    </r>
  </si>
  <si>
    <t>INSUMOS 01/2017</t>
  </si>
  <si>
    <t>39811</t>
  </si>
  <si>
    <t>Caixa de passagem, de embutir, dimensões 150 X 150 X 75 mm</t>
  </si>
  <si>
    <r>
      <t>ITEM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Quadro de medição de embutir - Conj. 2 medidores bifásicos</t>
    </r>
  </si>
  <si>
    <t>Unidade: Und</t>
  </si>
  <si>
    <t>Arruela de alumínio p/eletroduto d=1 "</t>
  </si>
  <si>
    <t>un</t>
  </si>
  <si>
    <t>Bucha alumínio p/eletroduto d=1 "</t>
  </si>
  <si>
    <t>Caixa de medicao bi ou trifásica, em noril (policarbonato)</t>
  </si>
  <si>
    <t>Conector p/ haste de aterramento 3/4"</t>
  </si>
  <si>
    <t>Eletroduto condulete pvc rígido, d= 1/2"</t>
  </si>
  <si>
    <t>Haste cobreada copperweld p/ aterramento 254 micr d= 3/4" x 3,00 m c/conector</t>
  </si>
  <si>
    <t>Bucha em alumínio para eletroduto 16mm, d=1/2"</t>
  </si>
  <si>
    <t>00868</t>
  </si>
  <si>
    <t>Cabo de cobre nu 25 mm2 meio-duro</t>
  </si>
  <si>
    <t>00985</t>
  </si>
  <si>
    <t>Cabo de cobre, rigido, classe 2, isolacao em pvc/a, antichama bwf-b, 1 condutor, 450/750 v, secao nominal 10 mm2</t>
  </si>
  <si>
    <r>
      <t xml:space="preserve">ITEM: </t>
    </r>
    <r>
      <rPr>
        <b/>
        <sz val="12"/>
        <rFont val="Times New Roman"/>
        <family val="1"/>
      </rPr>
      <t>Relé Fotocélula 5A/1000W/220V -fornecimento e instalação</t>
    </r>
  </si>
  <si>
    <t>Relé Fotoelétrico 1000W/220V</t>
  </si>
  <si>
    <r>
      <t xml:space="preserve">ITEM: </t>
    </r>
    <r>
      <rPr>
        <b/>
        <sz val="12"/>
        <rFont val="Times New Roman"/>
        <family val="1"/>
      </rPr>
      <t>Luminária SPOT em LED, 1x40W</t>
    </r>
  </si>
  <si>
    <t>Cotação</t>
  </si>
  <si>
    <t>Luminária SPOT em LED, 1x40W</t>
  </si>
  <si>
    <r>
      <t>ITEM:</t>
    </r>
    <r>
      <rPr>
        <b/>
        <sz val="12"/>
        <rFont val="Times New Roman"/>
        <family val="1"/>
      </rPr>
      <t xml:space="preserve"> Plantio de palmeira imperial, h = 10,00 m, em cavas de 80x80x80cm</t>
    </r>
  </si>
  <si>
    <t>Palmeira imperial - h = 10,0m</t>
  </si>
  <si>
    <r>
      <t xml:space="preserve">ITEM: </t>
    </r>
    <r>
      <rPr>
        <b/>
        <sz val="12"/>
        <rFont val="Times New Roman"/>
        <family val="1"/>
      </rPr>
      <t>Mesa c/ tampo Ø=1,00m em concreto armado polido sobre tubo de concreto armado Ø=0,40m, e 4 bancos em concreto armado Ø=0,40m, com pintura acrílica cor cinza grafite da Coral ou similar.</t>
    </r>
  </si>
  <si>
    <t>Mesa c/ tampo Ø=1,00m em concreto armado polido sobre tubo de concreto armado Ø=0,40m, e 4 bancos em concreto armado Ø=0,40m, com pintura acrílica cor cinza grafite da Coral ou similar.</t>
  </si>
  <si>
    <t>12949/ ORSE</t>
  </si>
  <si>
    <t>Mesa c/ tampo Ø=1,00m em concreto armado polido sobre tubo de concreto armado Ø=0,40m, e 4 bancos em concreto armado Ø=0,40m</t>
  </si>
  <si>
    <t>88432</t>
  </si>
  <si>
    <t>Aplicação manual de pinturas com tinta acrílica em pré fabricados</t>
  </si>
  <si>
    <t>Escavação manual de vala</t>
  </si>
  <si>
    <t>Reaterro manual apiloado com soquete</t>
  </si>
  <si>
    <t>ITEM:Pintura acrilica em piso cimentado duas demaos (Composição baseada no ORSE)</t>
  </si>
  <si>
    <t>PINTOR COM ENCARGOS COMPLEMENTARES</t>
  </si>
  <si>
    <t>Tinta acrilica premium para piso</t>
  </si>
  <si>
    <t xml:space="preserve">                                                                                              ESTADO DA PARAÍBA</t>
  </si>
  <si>
    <t>OBRA: REFORMA DE PRAÇA NO MUNICÍPIO DE NOVA OLINDA-PB                                                                                                                                             ART OBRA: PB20180169890</t>
  </si>
  <si>
    <t xml:space="preserve">LOCAL:   RUA PADRE JOSÉ LOPES                   DATA BASE (REFERÊNCIAS): SINAPI/PB - NOVEMBRO/2017  COM DESONERAÇÃO   </t>
  </si>
  <si>
    <t xml:space="preserve">(VÍNCULO CAIXA REFERENCIAL)    </t>
  </si>
  <si>
    <t>ENCARGOS SOCIAIS: 86,95%           BDI: 25,86%</t>
  </si>
  <si>
    <t>Contrato Nº 1037622-82</t>
  </si>
  <si>
    <t>MEMÓRIA DE CÁLCULO (GLOBAL)</t>
  </si>
  <si>
    <t>DISCRIMINAÇÃO / ESPECIFICAÇÃO DOS SERVIÇOS</t>
  </si>
  <si>
    <t>CÁLCULO</t>
  </si>
  <si>
    <t>UNID.</t>
  </si>
  <si>
    <t>Locação da obra, com uso de equipamentos topográficos, inclusive nivelador</t>
  </si>
  <si>
    <t>(Obs: considerar área da praça) A = (912,36+494,59)</t>
  </si>
  <si>
    <t>Placa de obra em chapa de aço galvanizado (10,00 m²)</t>
  </si>
  <si>
    <t>A = (4,00*2,50) (larg*alt)</t>
  </si>
  <si>
    <t xml:space="preserve">MOVIMENTO DE TERRA </t>
  </si>
  <si>
    <t>Regularização de superfícies em terra com motoniveladora</t>
  </si>
  <si>
    <t>Áreas internas da praça para regularização
A = (912,36) + (494,59)</t>
  </si>
  <si>
    <t xml:space="preserve">Preparo de fundo de vala com largura menor que 1,5 m, em local com nível baixo de interferência. </t>
  </si>
  <si>
    <t>(seção da alvenaria para a fonte e canteiros) 
A = ((6,13+9,28+8,18)*0,45) + ((25,80+9,30+6,40+10,80+25,10+37,30+32,95+28,60+38,20)*0,09)</t>
  </si>
  <si>
    <t>Alvenaria de vedação de blocos vazados de concreto de 9x19x39cm (espessura 9cm) de paredes com área líquida menor que 6m² sem vãos e argamassa de assentamento com preparo em betoneira.</t>
  </si>
  <si>
    <t>(seção da alvenaria para a fonte e canteiros) 
A = ((6,13+9,28+8,18)*3*0,30) + ((25,80+9,30+6,40+10,80+25,10+37,30+32,95+28,60+38,20)*0,19)</t>
  </si>
  <si>
    <t>ESTRUTURAS DE CONCRETO (MONUMENTOS)</t>
  </si>
  <si>
    <t>Monumento 01</t>
  </si>
  <si>
    <t>4.1.1</t>
  </si>
  <si>
    <t>(Para Blocos) 
A = (3,20*8 + 3,05*8)</t>
  </si>
  <si>
    <t>4.1.2</t>
  </si>
  <si>
    <t>Armação de pilar ou viga de uma estrutura convencional de concreto armado em uma edifícação térrea ou sobrado utilizando aço ca-50 de 10.0 mm</t>
  </si>
  <si>
    <t>Obs: conforme quantitativos e quadro resumo de ferros, no projeto estrutural anexo 
P = (125,76+115,20+102,40+53,76*2+140,80)*0,624</t>
  </si>
  <si>
    <t>4.1.3</t>
  </si>
  <si>
    <t>Armação de pilar ou viga de uma estrutura convencional de concreto armado em uma edifícação térrea ou sobrado utilizando aço ca-60 de 5.0 mm</t>
  </si>
  <si>
    <t>Obs: conforme quantitativos e quadro resumo de ferros, no projeto estrutural anexo 
P = (86,92+78,72+93,12+232,80)*0,157</t>
  </si>
  <si>
    <t>4.1.4</t>
  </si>
  <si>
    <t>Concreto fck = 25mpa, traço 1:2,3:2,7 (cimento/ areia média/ brita 1) - preparo mecânico com betoneira 400 l.</t>
  </si>
  <si>
    <t>(Para Blocos) 
A = (0,90*0,90*0,80)*4*2</t>
  </si>
  <si>
    <t>4.1.5</t>
  </si>
  <si>
    <t>Monumento 02</t>
  </si>
  <si>
    <t>4.2.1</t>
  </si>
  <si>
    <t>Monumento com nome da cidade, feito em concreto armado</t>
  </si>
  <si>
    <t>Q = 1,00</t>
  </si>
  <si>
    <t>PAVIMENTAÇÃO E PISO</t>
  </si>
  <si>
    <t>Lastro de concreto magro, aplicado em pisos ou radiers, espessura de 5cm.</t>
  </si>
  <si>
    <t>(área a receber revestimento) 
A = 103,80 + 63,72</t>
  </si>
  <si>
    <t>5.2</t>
  </si>
  <si>
    <t>Contrapiso em argamassa traço 1:4 (cimento e areia), preparo mecânico com betoneira 400 L, aderido, espessura 3 cm, acabamento reforçado</t>
  </si>
  <si>
    <t>5.3</t>
  </si>
  <si>
    <t xml:space="preserve">Revestimento cerâmico para piso com placas tipo porcelanato de dimensões 60x60 cm </t>
  </si>
  <si>
    <t>(obs: Estilo amadeirado, para área conforme projeto arquitetônico) 
A = 103,80 + 63,72 m²</t>
  </si>
  <si>
    <t>Revestimento cerâmico para piso com placas tipo porcelanato de dimensões 60x60 cm aplicada em ambientes de área maior que 10m2</t>
  </si>
  <si>
    <t>5.4</t>
  </si>
  <si>
    <t xml:space="preserve">Execução de pavimento em piso intertravado, cor natural, espessura 6 cm. </t>
  </si>
  <si>
    <t>Obs: Intertravado para área da praça na cor natural
A = 620,81 (Área obtida através de função AutoCAD)</t>
  </si>
  <si>
    <t>5.5</t>
  </si>
  <si>
    <t>Obs: Intertravado para área da praça na cor natural para ser pintada com tinta verde
A = 347,10 (Área obtida através de função AutoCAD)</t>
  </si>
  <si>
    <t>5.6</t>
  </si>
  <si>
    <t xml:space="preserve">Assentamento de guia (meio-fio) em trecho reto, confeccionada em concreto pré-fabricado, dimensões 100x15x13x30 cm (comprimento x base inferior x base superior x altura), para vias urbanas (uso viário). </t>
  </si>
  <si>
    <t>Novo meio fio para entorno da praça
C = 175,20 + 155,20 - (2,20*5)</t>
  </si>
  <si>
    <t>INSTALAÇÕES ELÉTRICAS</t>
  </si>
  <si>
    <t>ENTRADA DE ENERGIA ELÉTRICA AÉREA MONOFÁSICA 50A COM POSTE DE CONCRETO, INCLUSIVE CABEAMENTO, CAIXA DE PROTEÇÃO PARA MEDIDOR E ATERRAMENTO.</t>
  </si>
  <si>
    <t>Quadro de medição de embutir - Conj. 1 medidor bifásico e 1 trifásico</t>
  </si>
  <si>
    <t xml:space="preserve">Q = 1,00 </t>
  </si>
  <si>
    <t>6.3</t>
  </si>
  <si>
    <t>Quadro de distribuicao de energia de embutir, em chapa metalica, para 18 disjuntores termomagneticos monopolares, com barramento trifasico e Neutro, fornecimento e instalacao</t>
  </si>
  <si>
    <t>6.4</t>
  </si>
  <si>
    <t>Disjuntor termomagnético monopolar padrão nema 10 a 30A 240V, fornecimento e instalação</t>
  </si>
  <si>
    <t>Q = 5,00(10A) + 1,00(25A)</t>
  </si>
  <si>
    <t>6.5</t>
  </si>
  <si>
    <t>Tomada baixa de embutir (1 módulo), 2p+t 10 a, incluindo suporte e placa - fornecimento e instalação.</t>
  </si>
  <si>
    <t>6.6</t>
  </si>
  <si>
    <t>Caixa retangular 4" x 2" média (1,30 m do piso), pvc, instalada em parede - fornecimento e instalação.</t>
  </si>
  <si>
    <t>Q = 11,00</t>
  </si>
  <si>
    <t>6.7</t>
  </si>
  <si>
    <t>Caixa de Passagem de embutir, 150X150X75mm com tampa</t>
  </si>
  <si>
    <t>Q = 12,00</t>
  </si>
  <si>
    <t>6.8</t>
  </si>
  <si>
    <t>Relé Fotoelétrico para comando de iluminação externa 220V/1000W - fornecimento e instalação</t>
  </si>
  <si>
    <t>6.9</t>
  </si>
  <si>
    <t>Cabo de cobre flexível isolado, 2,5 mm², anti-chama 450/750 v, para circuitos terminais - fornecimento e instalação.</t>
  </si>
  <si>
    <t>Q = 1238,00 m</t>
  </si>
  <si>
    <t>6.10</t>
  </si>
  <si>
    <t>Cabo de cobre flexível isolado, 10 mm², anti-chama 450/750 v, para circuitos terminais - fornecimento e instalação.</t>
  </si>
  <si>
    <t>Q =  84,80 m</t>
  </si>
  <si>
    <t>6.11</t>
  </si>
  <si>
    <t>Eletroduto leve PVC flexível DN 20 MM (3/4") inclusive conexoes, fornecimento e instalação</t>
  </si>
  <si>
    <t>Q = 397,30 m</t>
  </si>
  <si>
    <t>6.12</t>
  </si>
  <si>
    <t>Luminária para iluminação pública LED 150w</t>
  </si>
  <si>
    <t>Q = 11,00*2,00</t>
  </si>
  <si>
    <t>6.13</t>
  </si>
  <si>
    <t>Poste concreto seção circular comprimento=9M, carga nominal no topo 300 kg - Inclusive escavação, fornecimento e colocação</t>
  </si>
  <si>
    <t>6.14</t>
  </si>
  <si>
    <t>Braço p/ iluminacao de ruas em tubo aco galv 1" comp = 1,20m e inclinacao 25graus em relacao ao plano vertical p/ fixacao em poste ou parede - fornecimento e instalacao</t>
  </si>
  <si>
    <t>6.15</t>
  </si>
  <si>
    <t>Caixa octogonal de fundo movel, em pvc, de 3" x 3", para eletroduto flexivel corrugado</t>
  </si>
  <si>
    <t>Q=33,00</t>
  </si>
  <si>
    <t>6.16</t>
  </si>
  <si>
    <t>Spot Balizador Led 5w Piso Jardim Bivolt</t>
  </si>
  <si>
    <t>Q=11,00</t>
  </si>
  <si>
    <t>INSTALAÇÕES HIDRÁULICAS</t>
  </si>
  <si>
    <t>Tubo, pvc, soldável, DN 25mm, instalado em ramal ou sub-ramal de água - fornecimento e instalação.</t>
  </si>
  <si>
    <t>C = 7,69 + 7,87</t>
  </si>
  <si>
    <t>BOMBA RECALQUE D'AGUA TRIFASICA 10,0 HP</t>
  </si>
  <si>
    <t>7.3</t>
  </si>
  <si>
    <t>Tê soldável 25 mm</t>
  </si>
  <si>
    <t>Q = 2,00</t>
  </si>
  <si>
    <t>7.4</t>
  </si>
  <si>
    <t>Joelho 45 graus, pvc, soldável, dn 25mm, instalado em prumada de água - fornecimento e instalação</t>
  </si>
  <si>
    <t>Q = 3,00</t>
  </si>
  <si>
    <t>7.5</t>
  </si>
  <si>
    <t>Adaptador soldável curto c/ bolsa</t>
  </si>
  <si>
    <t>Q = 4,00</t>
  </si>
  <si>
    <t>7.6</t>
  </si>
  <si>
    <t>Joelho 90 graus, pvc, soldável, dn 25mm, instalado em prumada de água- fornecimento e instalação.</t>
  </si>
  <si>
    <t>7.7</t>
  </si>
  <si>
    <t>Registro gaveta com acabamento e canopla cromados, simples, bitola 3/4"</t>
  </si>
  <si>
    <t>7.8</t>
  </si>
  <si>
    <t>Registro de esfera 3/4"</t>
  </si>
  <si>
    <t>PINTURA/REVESTIMENTO</t>
  </si>
  <si>
    <t>Pintura acrilica em piso cimentado duas demaos</t>
  </si>
  <si>
    <t>(corresponde a toda a área de canteiros) 
A =(25,80+9,30+6,40+10,80+25,10+37,30+32,95+28,60+38,20)*0,30</t>
  </si>
  <si>
    <t>ITEM: (Composição baseada no ORSE)</t>
  </si>
  <si>
    <t>(Corresponde a área de pintura verde nos intertravados, conforme projeto arquitetônico)
A = 347,10 (Área obtida através de função AutoCAD)</t>
  </si>
  <si>
    <t>Revestimento em mármore</t>
  </si>
  <si>
    <t>(Para revestimento da fonte)
A = 15,49 (Área obtida através de função AutoCAD)</t>
  </si>
  <si>
    <t>8.4</t>
  </si>
  <si>
    <t>Aplicação manual de pintura com tinta texturizada acrílica em panos com presença de vãos de edifícios de múltiplos pavimentos, uma cor.</t>
  </si>
  <si>
    <t xml:space="preserve"> Pintura dos monumentos +  Monumento com nome da cidade + Fonte                                                                           A =(3,05+2,55+3,20+2,70+3,20+2,70+6,03+2,55+3,05+5,03)*2+(7,76+10,56) + (27,80*0,3)</t>
  </si>
  <si>
    <t>ARBORIZAÇÃO</t>
  </si>
  <si>
    <t>9.1</t>
  </si>
  <si>
    <t>Plantio de grama esmeralda em rolo</t>
  </si>
  <si>
    <t>A = (30,52+2,07+1,18+2,26+24,23+25,98+13,92+16,20+35,76)</t>
  </si>
  <si>
    <t>9.2</t>
  </si>
  <si>
    <t>Plantio de árvore, altura de 1,00m, em cavas 0,80 x 0,80 x 0,80 m</t>
  </si>
  <si>
    <t>Q = 6,00</t>
  </si>
  <si>
    <t>9.3</t>
  </si>
  <si>
    <t>Plantio de árvore regional, altura maior que 2,00m, em cavas 0,80 x 0,80 x 0,80 m</t>
  </si>
  <si>
    <t>9.4</t>
  </si>
  <si>
    <t>Plantio de palmeira imperial, h = 10,00 m, em cavas de 80x80x80cm</t>
  </si>
  <si>
    <t>10.0</t>
  </si>
  <si>
    <t>10.1</t>
  </si>
  <si>
    <t>Rampa para acesso de deficientes em concreto simples, com pintura indicativa e sinalização tátil (NBR 9050/04)</t>
  </si>
  <si>
    <t>Q = 5,00</t>
  </si>
  <si>
    <t>10.2</t>
  </si>
  <si>
    <t>Lixeira individual para coleta seletiva com poste, cap. 40 litros</t>
  </si>
  <si>
    <t>Q = 8,00</t>
  </si>
  <si>
    <t>10.3</t>
  </si>
  <si>
    <t xml:space="preserve">Banco em pranchão de madeira 2,0x0,50x0,04m-envernizada, confeccionado c/ tubos de aço galvanizado-rosca, d=2 1/2", pintados com epoxi e esmalte </t>
  </si>
  <si>
    <t>Q = 16,00</t>
  </si>
  <si>
    <t>10.4</t>
  </si>
  <si>
    <t>Caramanchão</t>
  </si>
  <si>
    <t>10.5</t>
  </si>
  <si>
    <t xml:space="preserve"> Mesa c/ tampo Ø=1,00m em concreto armado polido sobre tubo de concreto armado Ø=0,40m, e 4 bancos em concreto armado Ø=0,40m, com pintura acrílica cor cinza grafite da Coral ou similar.</t>
  </si>
  <si>
    <t>Q = 10,00</t>
  </si>
  <si>
    <t>10.6</t>
  </si>
  <si>
    <t>Vidro temperado incolor e=6mm - fornecimento e instalação, inclusive massa para vedação</t>
  </si>
  <si>
    <t>Obs: Para cobertura das pérgolas
A = (28,00*2,00)</t>
  </si>
  <si>
    <t>10.7</t>
  </si>
  <si>
    <t>Limpeza final da obra</t>
  </si>
  <si>
    <t xml:space="preserve">LOCAL:  RUA PADRE JOSÉ LOPES                  DATA BASE (REFERÊNCIAS): SINAPI/PB - NOVEMBRO/2017  COM DESONERAÇÃO   </t>
  </si>
  <si>
    <t>PLANILHA ORÇAMENTÁRIA GLOBAL</t>
  </si>
  <si>
    <t>FONTE DO VALOR UNITÁRIO</t>
  </si>
  <si>
    <t>ver composição</t>
  </si>
  <si>
    <t>Ver composição</t>
  </si>
  <si>
    <t>74131/004</t>
  </si>
  <si>
    <t>74130/001</t>
  </si>
  <si>
    <t>73783/015</t>
  </si>
  <si>
    <t>APLICAÇÃO MANUAL DE PINTURA COM TINTA TEXTURIZADA ACRÍLICA EM SUPERFÍC</t>
  </si>
  <si>
    <t>TOTAL GERAL DA OBRA  R$</t>
  </si>
  <si>
    <t>Demolição de meio-fio granítico ou pre-moldado</t>
  </si>
  <si>
    <t>C = 33,9 + 30,95 = 64,85</t>
  </si>
  <si>
    <t>00021 (ORSE)</t>
  </si>
  <si>
    <t>1.3</t>
  </si>
  <si>
    <t>Remoção de poste de ferro galvanizado simples (6.00 a 10.00 m) sem reaproveitamento</t>
  </si>
  <si>
    <t>07768 (ORSE)</t>
  </si>
  <si>
    <t>1.4</t>
  </si>
  <si>
    <t>Demolição de pavimentação em paralelepípedo sem reaproveitamento</t>
  </si>
  <si>
    <t>(corresponde a cerca de 40% da área ocupada pelos 02 canteiros) A = (31,72 + 25,7)*0,4 = 22,97</t>
  </si>
  <si>
    <t>07989 (ORSE)</t>
  </si>
  <si>
    <t>Demolição manual de piso cimentado sobre lastro de concreto</t>
  </si>
  <si>
    <t>(corresponde a cerca de 60% da área ocupada pelos 02 canteiros) A = (31,72 + 25,7)*0,6 = 34,45</t>
  </si>
  <si>
    <t>00016 (ORSE)</t>
  </si>
  <si>
    <t>LUMINARIA DE LED PARA ILUMINACAO PUBLICA, DE 98 W ATE 137 W, INVOLUCRO EM ALUMINIO OU ACO INOX</t>
  </si>
  <si>
    <t>Quadro de medição monofásica (até 6 kva) com caixa em noril</t>
  </si>
  <si>
    <t>4.4</t>
  </si>
  <si>
    <t>4.5</t>
  </si>
  <si>
    <t>4.6</t>
  </si>
  <si>
    <t>00337 (ORSE)</t>
  </si>
  <si>
    <t>74131/001 (SINAPI)</t>
  </si>
  <si>
    <t>QUADRO DE DISTRIBUICAO DE ENERGIA DE EMBUTIR, EM CHAPA METALICA, PARA 3 DISJUNTORES TERMOMAGNETICOS MONOPOLARES SEM BARRAMENTO FORNECIMENTO E INSTALACAO</t>
  </si>
  <si>
    <t>83399 (SINAPI)</t>
  </si>
  <si>
    <t>VER COMPOSIÇÃO</t>
  </si>
  <si>
    <t>ESCAVAÇÃO MANUAL DE VALA COM PROFUNDIDADE MENOR OU IGUAL A 1,30 M</t>
  </si>
  <si>
    <t>93358 (SINAPI)</t>
  </si>
  <si>
    <t>ASSENTAMENTO DE GUIA (MEIO-FIO) EM TRECHO RETO, CONFECCIONADA EM CONCRETO PRÉ-FABRICADO, DIMENSÕES 100X15X13X30 CM (COMPRIMENTO X BASE INFERIOR X BASE SUPERIOR X ALTURA), PARA VIAS URBANAS (USO VIÁRIO)</t>
  </si>
  <si>
    <t>C = (13,98*2 + 0,91*4 + 1,49*2) + (14,16*2 + 0,91*4 + 1,49*2) = 69,52</t>
  </si>
  <si>
    <t>94273 (SINAPI)</t>
  </si>
  <si>
    <t>(Para colocação dos canteiros em alvenaria de 1/2 vez) V = ((3,74 + 0,61 + 0,91)*4 + (2*3,14*0,71)*2)*0,2*0,15 = 0,90</t>
  </si>
  <si>
    <t>(Para colocação dos canteiros em alvenaria de 1/2 vez) A = ((2,52 + 0,91 + 0,75)*0,15*4 + (3,74 + 0,61 + 0,91)*0,3*4 + (2*3,14*0,71)*0,3*2) = 11,50</t>
  </si>
  <si>
    <t>87447 (SINAPI)</t>
  </si>
  <si>
    <t>EXECUÇÃO DE PASSEIO EM PISO INTERTRAVADO, COM BLOCO RETANGULAR COR NATURAL DE 20 X 10 CM, ESPESSURA 6 CM</t>
  </si>
  <si>
    <t>A = 26,28 + 26,7 = 52,98</t>
  </si>
  <si>
    <t>92396 (SINAPI)</t>
  </si>
  <si>
    <t>74130/001 (SINAPI)</t>
  </si>
  <si>
    <t>4.7</t>
  </si>
  <si>
    <t>4.8</t>
  </si>
  <si>
    <t>4.9</t>
  </si>
  <si>
    <t>4.10</t>
  </si>
  <si>
    <t>4.11</t>
  </si>
  <si>
    <t>Caixa retangular 4" x 2" média (1,30 m do piso), pvc, instalada em parede - fornecimento e instalação</t>
  </si>
  <si>
    <t>(Obs: para colocação dos relés) Q = 2,00</t>
  </si>
  <si>
    <t>Q = 4,00 (2,00 em cada poste)</t>
  </si>
  <si>
    <t>91940 (SINAPI)</t>
  </si>
  <si>
    <t>Caixa de passagem 20x20x12cm, em chapa aço galvanizado, embutida</t>
  </si>
  <si>
    <t>Q = 2,00 (1,00 para cada poste)</t>
  </si>
  <si>
    <t>00650 (ORSE)</t>
  </si>
  <si>
    <t xml:space="preserve">SINAPI Referencial JUN/2019 C/ DESONERAÇÃO e ORSE-SE JUL/2019 </t>
  </si>
  <si>
    <r>
      <t xml:space="preserve">ITEM: </t>
    </r>
    <r>
      <rPr>
        <b/>
        <sz val="12"/>
        <rFont val="Times New Roman"/>
        <family val="1"/>
      </rPr>
      <t>LUMINARIA DE LED PARA ILUMINACAO PUBLICA, DE 98 W ATE 137 W, INVOLUCRO EM ALUMINIO OU ACO INOX (Composição com fonte no SINAPI, item 74231)</t>
    </r>
  </si>
  <si>
    <t>INSUMOS 06/2019 (C/ DESONERAÇÃO)</t>
  </si>
  <si>
    <t>08370 (ORSE)</t>
  </si>
  <si>
    <t>Q = 2,00*2 = 4,00</t>
  </si>
  <si>
    <t>83400 (SINAPI)</t>
  </si>
  <si>
    <t>4.12</t>
  </si>
  <si>
    <t>Cabo de cobre flexível isolado, 6 mm², anti-chama 450/750 v, para circuitos terminais - fornecimento e instalação.</t>
  </si>
  <si>
    <t>91926 (SINAPI)</t>
  </si>
  <si>
    <t>91930 (SINAPI)</t>
  </si>
  <si>
    <t>ELETRODUTO FLEXÍVEL CORRUGADO, PVC, DN 25 MM (3/4"), PARA CIRCUITOS TERMINAIS, INSTALADO EM LAJE - FORNECIMENTO E INSTALAÇÃO</t>
  </si>
  <si>
    <t>91844 (SINAPI)</t>
  </si>
  <si>
    <t>C = (8 + 6,97 + 7) + (8 + 6,98 + 7) = 43,95</t>
  </si>
  <si>
    <t xml:space="preserve">C = ((5,70) + (5,70))*2 = 22,80 </t>
  </si>
  <si>
    <t>C = ((8 + 6,97 + 1,3) + (8 + 6,98 + 1,3))*2 = 65,10</t>
  </si>
  <si>
    <t>(Obs: para pintura do piso intertravado e canteiros de alvenaria) A = ((2,52 + 0,91 + 0,75)*0,15*4 + (3,74 + 0,61 + 0,91)*0,15*4 + (2*3,14*0,71)*0,15*2)*2 + 52,98 = 66,98</t>
  </si>
  <si>
    <t>74245/001 (SINAPI)</t>
  </si>
  <si>
    <t>Caiação em meio fio</t>
  </si>
  <si>
    <t>A = 69,52*0,15 + 69,52*0,13 = 19,47</t>
  </si>
  <si>
    <t>83693 (SINAPI)</t>
  </si>
  <si>
    <t>8,57*2</t>
  </si>
  <si>
    <t>Pintura acrílica em piso cimentado 02 demãos</t>
  </si>
  <si>
    <t>(Obs: na área interna dos canteiros) A = 8,57*2 = 17,14</t>
  </si>
  <si>
    <t>85180 (SINAPI)</t>
  </si>
  <si>
    <t>PLANTIO DE ÁRVORE ORNAMENTAL COM ALTURA DE MUDA MAIOR QUE 2,00 M E MENOR OU IGUAL A 4,00 M</t>
  </si>
  <si>
    <t>(Obs: sendo 01 para cada canteiro, totalizando 04 árvores) Q = 4,00</t>
  </si>
  <si>
    <t>98511 (SINAPI)</t>
  </si>
  <si>
    <t>Banco com encosto, compr=1,50m, largura=30cm, pé de ferro fundido e com 10 réguas de madeira, inclusive pintura</t>
  </si>
  <si>
    <t>02411 (ORSE)</t>
  </si>
  <si>
    <t>Limpeza de ruas (varrição e remoção de entulhos)</t>
  </si>
  <si>
    <t>(Obs: considerar toda a área do pavimento externa aos canteiros, conforme descrito em projeto) A = 542,42</t>
  </si>
  <si>
    <t>06191 (ORSE)</t>
  </si>
  <si>
    <t>Rua Tiradentes, Centro, Nova Olinda - PB</t>
  </si>
  <si>
    <t>SINAPI Referencial JUN/2019 C/ DESONERAÇÃO e ORSE-SE JUL/2019</t>
  </si>
  <si>
    <t>1º AO 15º DIA</t>
  </si>
  <si>
    <t>16º AO 30º DIA</t>
  </si>
  <si>
    <t xml:space="preserve">ENCARGOS SOCIAIS: 87,29%           BDI: 24,23%                            </t>
  </si>
  <si>
    <t>Poste circular de concreto 8/200 - fornecimento e assentamento (para iluminação pública, com 8,00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</si>
</sst>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_);_(* \(#,##0.00\);_(* \-??_);_(@_)"/>
    <numFmt numFmtId="167" formatCode="_-* #,##0.000_-;\-* #,##0.000_-;_-* &quot;-&quot;??_-;_-@_-"/>
    <numFmt numFmtId="168" formatCode="&quot;R$&quot;\ #,##0.00"/>
    <numFmt numFmtId="169" formatCode="_(* #,##0.0000_);_(* \(#,##0.0000\);_(* &quot;-&quot;??_);_(@_)"/>
    <numFmt numFmtId="170" formatCode="0.000"/>
    <numFmt numFmtId="171" formatCode="0.0000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rgb="FF0070C0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FF000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u val="single"/>
      <sz val="14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rgb="FF9C6500"/>
      <name val="Calibri"/>
      <family val="2"/>
      <scheme val="minor"/>
    </font>
    <font>
      <b/>
      <sz val="12"/>
      <color rgb="FF9C6500"/>
      <name val="Arial Narrow"/>
      <family val="2"/>
    </font>
    <font>
      <u val="single"/>
      <sz val="10"/>
      <color theme="10"/>
      <name val="Arial"/>
      <family val="2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8"/>
      <color rgb="FF000000"/>
      <name val="Verdana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8F5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double"/>
      <right style="thin"/>
      <top style="double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27" fillId="24" borderId="10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0" borderId="0">
      <alignment/>
      <protection/>
    </xf>
    <xf numFmtId="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6">
    <xf numFmtId="0" fontId="0" fillId="0" borderId="0" xfId="0"/>
    <xf numFmtId="0" fontId="4" fillId="26" borderId="0" xfId="0" applyFont="1" applyFill="1" applyBorder="1"/>
    <xf numFmtId="0" fontId="4" fillId="26" borderId="11" xfId="0" applyFont="1" applyFill="1" applyBorder="1" applyAlignment="1">
      <alignment horizontal="left"/>
    </xf>
    <xf numFmtId="0" fontId="4" fillId="26" borderId="11" xfId="0" applyFont="1" applyFill="1" applyBorder="1" applyAlignment="1">
      <alignment horizontal="center"/>
    </xf>
    <xf numFmtId="0" fontId="4" fillId="0" borderId="0" xfId="0" applyFont="1"/>
    <xf numFmtId="0" fontId="4" fillId="26" borderId="12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4" fillId="20" borderId="13" xfId="0" applyFont="1" applyFill="1" applyBorder="1" applyAlignment="1">
      <alignment horizontal="center"/>
    </xf>
    <xf numFmtId="164" fontId="4" fillId="20" borderId="13" xfId="66" applyFont="1" applyFill="1" applyBorder="1" applyAlignment="1">
      <alignment horizontal="right"/>
    </xf>
    <xf numFmtId="164" fontId="3" fillId="20" borderId="13" xfId="66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26" borderId="14" xfId="68" applyFont="1" applyFill="1" applyBorder="1" applyAlignment="1">
      <alignment/>
    </xf>
    <xf numFmtId="164" fontId="4" fillId="26" borderId="11" xfId="68" applyFont="1" applyFill="1" applyBorder="1" applyAlignment="1">
      <alignment horizontal="right"/>
    </xf>
    <xf numFmtId="164" fontId="4" fillId="26" borderId="15" xfId="68" applyFont="1" applyFill="1" applyBorder="1" applyAlignment="1">
      <alignment horizontal="right"/>
    </xf>
    <xf numFmtId="164" fontId="4" fillId="26" borderId="0" xfId="68" applyFont="1" applyFill="1" applyBorder="1" applyAlignment="1">
      <alignment horizontal="right"/>
    </xf>
    <xf numFmtId="164" fontId="4" fillId="26" borderId="16" xfId="68" applyFont="1" applyFill="1" applyBorder="1" applyAlignment="1">
      <alignment/>
    </xf>
    <xf numFmtId="164" fontId="4" fillId="26" borderId="17" xfId="68" applyFont="1" applyFill="1" applyBorder="1" applyAlignment="1">
      <alignment horizontal="right"/>
    </xf>
    <xf numFmtId="164" fontId="3" fillId="26" borderId="0" xfId="68" applyFont="1" applyFill="1" applyBorder="1" applyAlignment="1">
      <alignment horizontal="center"/>
    </xf>
    <xf numFmtId="164" fontId="3" fillId="26" borderId="16" xfId="68" applyFont="1" applyFill="1" applyBorder="1" applyAlignment="1">
      <alignment/>
    </xf>
    <xf numFmtId="164" fontId="3" fillId="26" borderId="0" xfId="68" applyFont="1" applyFill="1" applyBorder="1" applyAlignment="1">
      <alignment horizontal="right"/>
    </xf>
    <xf numFmtId="164" fontId="3" fillId="26" borderId="17" xfId="68" applyFont="1" applyFill="1" applyBorder="1" applyAlignment="1">
      <alignment horizontal="center"/>
    </xf>
    <xf numFmtId="164" fontId="22" fillId="26" borderId="16" xfId="68" applyFont="1" applyFill="1" applyBorder="1" applyAlignment="1">
      <alignment/>
    </xf>
    <xf numFmtId="164" fontId="4" fillId="26" borderId="0" xfId="68" applyFont="1" applyFill="1" applyBorder="1"/>
    <xf numFmtId="164" fontId="4" fillId="26" borderId="12" xfId="68" applyFont="1" applyFill="1" applyBorder="1" applyAlignment="1">
      <alignment horizontal="right"/>
    </xf>
    <xf numFmtId="164" fontId="4" fillId="26" borderId="18" xfId="68" applyFont="1" applyFill="1" applyBorder="1" applyAlignment="1">
      <alignment horizontal="right"/>
    </xf>
    <xf numFmtId="164" fontId="3" fillId="14" borderId="0" xfId="68" applyFont="1" applyFill="1" applyBorder="1" applyAlignment="1">
      <alignment horizontal="right" wrapText="1"/>
    </xf>
    <xf numFmtId="164" fontId="4" fillId="20" borderId="13" xfId="68" applyFont="1" applyFill="1" applyBorder="1" applyAlignment="1">
      <alignment horizontal="right"/>
    </xf>
    <xf numFmtId="164" fontId="3" fillId="20" borderId="13" xfId="68" applyFont="1" applyFill="1" applyBorder="1" applyAlignment="1">
      <alignment horizontal="right"/>
    </xf>
    <xf numFmtId="164" fontId="3" fillId="20" borderId="0" xfId="68" applyFont="1" applyFill="1" applyBorder="1" applyAlignment="1">
      <alignment horizontal="right"/>
    </xf>
    <xf numFmtId="164" fontId="4" fillId="0" borderId="0" xfId="68" applyFont="1" applyBorder="1" applyAlignment="1">
      <alignment horizontal="justify" wrapText="1"/>
    </xf>
    <xf numFmtId="164" fontId="4" fillId="0" borderId="0" xfId="68" applyFont="1" applyBorder="1" applyAlignment="1">
      <alignment wrapText="1"/>
    </xf>
    <xf numFmtId="164" fontId="4" fillId="0" borderId="0" xfId="68" applyFont="1" applyAlignment="1">
      <alignment horizontal="right"/>
    </xf>
    <xf numFmtId="164" fontId="4" fillId="0" borderId="0" xfId="68" applyFont="1" applyAlignment="1">
      <alignment/>
    </xf>
    <xf numFmtId="164" fontId="3" fillId="20" borderId="19" xfId="68" applyFont="1" applyFill="1" applyBorder="1" applyAlignment="1">
      <alignment/>
    </xf>
    <xf numFmtId="164" fontId="3" fillId="20" borderId="20" xfId="68" applyFont="1" applyFill="1" applyBorder="1" applyAlignment="1">
      <alignment horizontal="right"/>
    </xf>
    <xf numFmtId="164" fontId="3" fillId="20" borderId="19" xfId="66" applyFont="1" applyFill="1" applyBorder="1" applyAlignment="1">
      <alignment/>
    </xf>
    <xf numFmtId="0" fontId="3" fillId="20" borderId="20" xfId="66" applyNumberFormat="1" applyFont="1" applyFill="1" applyBorder="1" applyAlignment="1">
      <alignment horizontal="center"/>
    </xf>
    <xf numFmtId="164" fontId="3" fillId="14" borderId="21" xfId="68" applyFont="1" applyFill="1" applyBorder="1" applyAlignment="1">
      <alignment/>
    </xf>
    <xf numFmtId="0" fontId="3" fillId="14" borderId="2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3" fillId="14" borderId="22" xfId="68" applyFont="1" applyFill="1" applyBorder="1" applyAlignment="1">
      <alignment horizontal="right" wrapText="1"/>
    </xf>
    <xf numFmtId="164" fontId="3" fillId="14" borderId="23" xfId="68" applyFont="1" applyFill="1" applyBorder="1" applyAlignment="1">
      <alignment horizontal="right" wrapText="1"/>
    </xf>
    <xf numFmtId="164" fontId="3" fillId="20" borderId="20" xfId="66" applyFont="1" applyFill="1" applyBorder="1" applyAlignment="1">
      <alignment horizontal="right"/>
    </xf>
    <xf numFmtId="164" fontId="4" fillId="0" borderId="0" xfId="68" applyFont="1" applyFill="1" applyBorder="1" applyAlignment="1">
      <alignment horizontal="right"/>
    </xf>
    <xf numFmtId="164" fontId="4" fillId="0" borderId="0" xfId="71" applyFont="1" applyBorder="1" applyAlignment="1">
      <alignment horizontal="justify" wrapText="1"/>
    </xf>
    <xf numFmtId="164" fontId="4" fillId="26" borderId="0" xfId="71" applyFont="1" applyFill="1" applyBorder="1" applyAlignment="1">
      <alignment horizontal="justify" wrapText="1"/>
    </xf>
    <xf numFmtId="164" fontId="4" fillId="27" borderId="19" xfId="71" applyFont="1" applyFill="1" applyBorder="1" applyAlignment="1">
      <alignment horizontal="center"/>
    </xf>
    <xf numFmtId="0" fontId="3" fillId="27" borderId="24" xfId="53" applyFont="1" applyFill="1" applyBorder="1" applyAlignment="1">
      <alignment horizontal="left" wrapText="1"/>
      <protection/>
    </xf>
    <xf numFmtId="0" fontId="4" fillId="27" borderId="13" xfId="53" applyFont="1" applyFill="1" applyBorder="1" applyAlignment="1">
      <alignment horizontal="center"/>
      <protection/>
    </xf>
    <xf numFmtId="164" fontId="24" fillId="27" borderId="13" xfId="66" applyFont="1" applyFill="1" applyBorder="1" applyAlignment="1">
      <alignment horizontal="right"/>
    </xf>
    <xf numFmtId="164" fontId="4" fillId="27" borderId="13" xfId="71" applyFont="1" applyFill="1" applyBorder="1" applyAlignment="1">
      <alignment horizontal="center"/>
    </xf>
    <xf numFmtId="0" fontId="26" fillId="27" borderId="20" xfId="71" applyNumberFormat="1" applyFont="1" applyFill="1" applyBorder="1" applyAlignment="1">
      <alignment horizontal="center" wrapText="1"/>
    </xf>
    <xf numFmtId="164" fontId="4" fillId="27" borderId="19" xfId="66" applyFont="1" applyFill="1" applyBorder="1" applyAlignment="1">
      <alignment/>
    </xf>
    <xf numFmtId="0" fontId="4" fillId="27" borderId="13" xfId="0" applyFont="1" applyFill="1" applyBorder="1" applyAlignment="1">
      <alignment horizontal="center"/>
    </xf>
    <xf numFmtId="164" fontId="4" fillId="27" borderId="13" xfId="68" applyFont="1" applyFill="1" applyBorder="1" applyAlignment="1">
      <alignment horizontal="right"/>
    </xf>
    <xf numFmtId="164" fontId="4" fillId="27" borderId="13" xfId="66" applyFont="1" applyFill="1" applyBorder="1" applyAlignment="1">
      <alignment horizontal="right"/>
    </xf>
    <xf numFmtId="0" fontId="25" fillId="27" borderId="20" xfId="66" applyNumberFormat="1" applyFont="1" applyFill="1" applyBorder="1" applyAlignment="1">
      <alignment horizontal="center" wrapText="1"/>
    </xf>
    <xf numFmtId="0" fontId="3" fillId="27" borderId="13" xfId="0" applyFont="1" applyFill="1" applyBorder="1" applyAlignment="1">
      <alignment horizontal="left" wrapText="1"/>
    </xf>
    <xf numFmtId="0" fontId="4" fillId="27" borderId="13" xfId="0" applyFont="1" applyFill="1" applyBorder="1" applyAlignment="1">
      <alignment horizontal="center" wrapText="1"/>
    </xf>
    <xf numFmtId="164" fontId="24" fillId="27" borderId="13" xfId="66" applyFont="1" applyFill="1" applyBorder="1" applyAlignment="1">
      <alignment horizontal="right" wrapText="1"/>
    </xf>
    <xf numFmtId="164" fontId="4" fillId="27" borderId="13" xfId="68" applyFont="1" applyFill="1" applyBorder="1" applyAlignment="1">
      <alignment horizontal="right" wrapText="1"/>
    </xf>
    <xf numFmtId="0" fontId="3" fillId="27" borderId="13" xfId="0" applyFont="1" applyFill="1" applyBorder="1" applyAlignment="1">
      <alignment horizontal="left" vertical="top" wrapText="1"/>
    </xf>
    <xf numFmtId="0" fontId="3" fillId="26" borderId="16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164" fontId="4" fillId="28" borderId="14" xfId="68" applyFont="1" applyFill="1" applyBorder="1" applyAlignment="1">
      <alignment/>
    </xf>
    <xf numFmtId="0" fontId="4" fillId="28" borderId="11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center"/>
    </xf>
    <xf numFmtId="164" fontId="4" fillId="28" borderId="11" xfId="68" applyFont="1" applyFill="1" applyBorder="1" applyAlignment="1">
      <alignment horizontal="right"/>
    </xf>
    <xf numFmtId="164" fontId="4" fillId="28" borderId="15" xfId="68" applyFont="1" applyFill="1" applyBorder="1" applyAlignment="1">
      <alignment horizontal="right"/>
    </xf>
    <xf numFmtId="43" fontId="4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/>
    <xf numFmtId="164" fontId="3" fillId="20" borderId="0" xfId="66" applyFont="1" applyFill="1" applyBorder="1" applyAlignment="1">
      <alignment horizontal="right"/>
    </xf>
    <xf numFmtId="164" fontId="4" fillId="26" borderId="0" xfId="66" applyFont="1" applyFill="1" applyBorder="1" applyAlignment="1">
      <alignment horizontal="right"/>
    </xf>
    <xf numFmtId="164" fontId="2" fillId="26" borderId="0" xfId="66" applyFont="1" applyFill="1" applyBorder="1" applyAlignment="1">
      <alignment horizontal="center"/>
    </xf>
    <xf numFmtId="164" fontId="3" fillId="26" borderId="0" xfId="66" applyFont="1" applyFill="1" applyBorder="1" applyAlignment="1">
      <alignment horizontal="center"/>
    </xf>
    <xf numFmtId="164" fontId="0" fillId="0" borderId="0" xfId="66" applyFont="1" applyBorder="1"/>
    <xf numFmtId="164" fontId="4" fillId="26" borderId="0" xfId="66" applyFont="1" applyFill="1" applyBorder="1" applyAlignment="1">
      <alignment horizontal="center"/>
    </xf>
    <xf numFmtId="164" fontId="22" fillId="26" borderId="0" xfId="66" applyFont="1" applyFill="1" applyBorder="1" applyAlignment="1">
      <alignment horizontal="center"/>
    </xf>
    <xf numFmtId="164" fontId="3" fillId="14" borderId="0" xfId="66" applyFont="1" applyFill="1" applyBorder="1" applyAlignment="1">
      <alignment horizontal="right" wrapText="1"/>
    </xf>
    <xf numFmtId="164" fontId="26" fillId="27" borderId="0" xfId="66" applyFont="1" applyFill="1" applyBorder="1" applyAlignment="1">
      <alignment horizontal="center" wrapText="1"/>
    </xf>
    <xf numFmtId="164" fontId="3" fillId="20" borderId="0" xfId="66" applyFont="1" applyFill="1" applyBorder="1" applyAlignment="1">
      <alignment horizontal="center"/>
    </xf>
    <xf numFmtId="164" fontId="25" fillId="27" borderId="0" xfId="66" applyFont="1" applyFill="1" applyBorder="1" applyAlignment="1">
      <alignment horizontal="center" wrapText="1"/>
    </xf>
    <xf numFmtId="164" fontId="3" fillId="29" borderId="0" xfId="66" applyFont="1" applyFill="1" applyBorder="1" applyAlignment="1">
      <alignment horizontal="left"/>
    </xf>
    <xf numFmtId="164" fontId="4" fillId="28" borderId="0" xfId="66" applyFont="1" applyFill="1" applyBorder="1" applyAlignment="1">
      <alignment horizontal="right"/>
    </xf>
    <xf numFmtId="164" fontId="3" fillId="30" borderId="0" xfId="66" applyFont="1" applyFill="1" applyBorder="1" applyAlignment="1">
      <alignment horizontal="left"/>
    </xf>
    <xf numFmtId="164" fontId="4" fillId="0" borderId="0" xfId="66" applyFont="1" applyAlignment="1">
      <alignment horizontal="right"/>
    </xf>
    <xf numFmtId="0" fontId="3" fillId="27" borderId="25" xfId="0" applyFont="1" applyFill="1" applyBorder="1" applyAlignment="1">
      <alignment horizontal="left" wrapText="1"/>
    </xf>
    <xf numFmtId="0" fontId="4" fillId="27" borderId="26" xfId="0" applyFont="1" applyFill="1" applyBorder="1" applyAlignment="1">
      <alignment horizontal="center"/>
    </xf>
    <xf numFmtId="164" fontId="24" fillId="27" borderId="26" xfId="66" applyFont="1" applyFill="1" applyBorder="1" applyAlignment="1">
      <alignment horizontal="right"/>
    </xf>
    <xf numFmtId="164" fontId="4" fillId="27" borderId="27" xfId="68" applyFont="1" applyFill="1" applyBorder="1" applyAlignment="1">
      <alignment horizontal="right"/>
    </xf>
    <xf numFmtId="0" fontId="0" fillId="0" borderId="0" xfId="93" applyFont="1">
      <alignment/>
      <protection/>
    </xf>
    <xf numFmtId="0" fontId="29" fillId="0" borderId="0" xfId="93" applyFont="1">
      <alignment/>
      <protection/>
    </xf>
    <xf numFmtId="0" fontId="0" fillId="0" borderId="0" xfId="93" applyFont="1" applyBorder="1">
      <alignment/>
      <protection/>
    </xf>
    <xf numFmtId="0" fontId="31" fillId="0" borderId="13" xfId="93" applyFont="1" applyBorder="1" applyAlignment="1">
      <alignment horizontal="right"/>
      <protection/>
    </xf>
    <xf numFmtId="0" fontId="31" fillId="0" borderId="13" xfId="93" applyNumberFormat="1" applyFont="1" applyBorder="1" applyAlignment="1">
      <alignment/>
      <protection/>
    </xf>
    <xf numFmtId="0" fontId="32" fillId="0" borderId="13" xfId="93" applyFont="1" applyBorder="1" applyAlignment="1">
      <alignment vertical="center"/>
      <protection/>
    </xf>
    <xf numFmtId="0" fontId="32" fillId="0" borderId="13" xfId="93" applyFont="1" applyBorder="1" applyAlignment="1">
      <alignment vertical="center" wrapText="1"/>
      <protection/>
    </xf>
    <xf numFmtId="0" fontId="32" fillId="0" borderId="13" xfId="93" applyFont="1" applyBorder="1" applyAlignment="1">
      <alignment horizontal="center" vertical="center"/>
      <protection/>
    </xf>
    <xf numFmtId="0" fontId="32" fillId="0" borderId="13" xfId="93" applyFont="1" applyBorder="1" applyAlignment="1">
      <alignment horizontal="center" vertical="center" wrapText="1"/>
      <protection/>
    </xf>
    <xf numFmtId="0" fontId="32" fillId="0" borderId="13" xfId="93" applyFont="1" applyBorder="1" applyAlignment="1">
      <alignment vertical="top"/>
      <protection/>
    </xf>
    <xf numFmtId="0" fontId="32" fillId="0" borderId="13" xfId="93" applyNumberFormat="1" applyFont="1" applyBorder="1" applyAlignment="1">
      <alignment vertical="top"/>
      <protection/>
    </xf>
    <xf numFmtId="0" fontId="32" fillId="0" borderId="13" xfId="93" applyFont="1" applyBorder="1" applyAlignment="1">
      <alignment horizontal="left" vertical="top"/>
      <protection/>
    </xf>
    <xf numFmtId="2" fontId="32" fillId="0" borderId="13" xfId="93" applyNumberFormat="1" applyFont="1" applyBorder="1" applyAlignment="1">
      <alignment horizontal="right" vertical="center"/>
      <protection/>
    </xf>
    <xf numFmtId="0" fontId="32" fillId="0" borderId="13" xfId="93" applyNumberFormat="1" applyFont="1" applyBorder="1" applyAlignment="1">
      <alignment horizontal="left" vertical="top"/>
      <protection/>
    </xf>
    <xf numFmtId="0" fontId="32" fillId="0" borderId="13" xfId="93" applyFont="1" applyBorder="1" applyAlignment="1">
      <alignment horizontal="left" vertical="justify"/>
      <protection/>
    </xf>
    <xf numFmtId="43" fontId="32" fillId="0" borderId="13" xfId="94" applyFont="1" applyBorder="1" applyAlignment="1">
      <alignment horizontal="center" vertical="center"/>
    </xf>
    <xf numFmtId="0" fontId="0" fillId="0" borderId="13" xfId="93" applyNumberFormat="1" applyFont="1" applyBorder="1" applyAlignment="1">
      <alignment horizontal="center" vertical="center"/>
      <protection/>
    </xf>
    <xf numFmtId="43" fontId="32" fillId="0" borderId="13" xfId="94" applyFont="1" applyBorder="1" applyAlignment="1">
      <alignment horizontal="right" vertical="center"/>
    </xf>
    <xf numFmtId="0" fontId="0" fillId="27" borderId="13" xfId="93" applyFont="1" applyFill="1" applyBorder="1" applyAlignment="1">
      <alignment wrapText="1"/>
      <protection/>
    </xf>
    <xf numFmtId="0" fontId="0" fillId="27" borderId="13" xfId="93" applyFont="1" applyFill="1" applyBorder="1" applyAlignment="1">
      <alignment horizontal="center" vertical="center"/>
      <protection/>
    </xf>
    <xf numFmtId="43" fontId="0" fillId="27" borderId="13" xfId="94" applyFont="1" applyFill="1" applyBorder="1" applyAlignment="1">
      <alignment horizontal="center" vertical="center"/>
    </xf>
    <xf numFmtId="164" fontId="0" fillId="0" borderId="0" xfId="95" applyFont="1" applyBorder="1"/>
    <xf numFmtId="164" fontId="32" fillId="0" borderId="0" xfId="93" applyNumberFormat="1" applyFont="1" applyBorder="1">
      <alignment/>
      <protection/>
    </xf>
    <xf numFmtId="0" fontId="32" fillId="0" borderId="0" xfId="93" applyFont="1" applyBorder="1">
      <alignment/>
      <protection/>
    </xf>
    <xf numFmtId="164" fontId="0" fillId="0" borderId="0" xfId="93" applyNumberFormat="1" applyFont="1" applyBorder="1">
      <alignment/>
      <protection/>
    </xf>
    <xf numFmtId="49" fontId="0" fillId="0" borderId="13" xfId="93" applyNumberFormat="1" applyFont="1" applyBorder="1" applyAlignment="1">
      <alignment horizontal="center" vertical="center"/>
      <protection/>
    </xf>
    <xf numFmtId="0" fontId="0" fillId="0" borderId="13" xfId="93" applyFont="1" applyBorder="1" applyAlignment="1">
      <alignment wrapText="1"/>
      <protection/>
    </xf>
    <xf numFmtId="0" fontId="0" fillId="0" borderId="13" xfId="93" applyFont="1" applyBorder="1" applyAlignment="1">
      <alignment horizontal="center" vertical="center"/>
      <protection/>
    </xf>
    <xf numFmtId="43" fontId="0" fillId="0" borderId="13" xfId="94" applyFont="1" applyBorder="1" applyAlignment="1">
      <alignment horizontal="center" vertical="center"/>
    </xf>
    <xf numFmtId="43" fontId="0" fillId="0" borderId="13" xfId="94" applyFont="1" applyFill="1" applyBorder="1" applyAlignment="1">
      <alignment horizontal="center" vertical="center"/>
    </xf>
    <xf numFmtId="0" fontId="32" fillId="0" borderId="13" xfId="93" applyFont="1" applyBorder="1">
      <alignment/>
      <protection/>
    </xf>
    <xf numFmtId="0" fontId="0" fillId="0" borderId="13" xfId="93" applyFont="1" applyBorder="1">
      <alignment/>
      <protection/>
    </xf>
    <xf numFmtId="0" fontId="0" fillId="0" borderId="13" xfId="93" applyFont="1" applyBorder="1" applyAlignment="1">
      <alignment horizontal="center"/>
      <protection/>
    </xf>
    <xf numFmtId="43" fontId="32" fillId="27" borderId="13" xfId="93" applyNumberFormat="1" applyFont="1" applyFill="1" applyBorder="1" applyAlignment="1">
      <alignment horizontal="center" vertical="center"/>
      <protection/>
    </xf>
    <xf numFmtId="0" fontId="0" fillId="27" borderId="13" xfId="93" applyFont="1" applyFill="1" applyBorder="1">
      <alignment/>
      <protection/>
    </xf>
    <xf numFmtId="0" fontId="0" fillId="27" borderId="13" xfId="93" applyNumberFormat="1" applyFont="1" applyFill="1" applyBorder="1">
      <alignment/>
      <protection/>
    </xf>
    <xf numFmtId="0" fontId="0" fillId="0" borderId="0" xfId="93" applyNumberFormat="1" applyFont="1">
      <alignment/>
      <protection/>
    </xf>
    <xf numFmtId="0" fontId="31" fillId="0" borderId="28" xfId="93" applyFont="1" applyBorder="1" applyAlignment="1">
      <alignment horizontal="right"/>
      <protection/>
    </xf>
    <xf numFmtId="0" fontId="31" fillId="0" borderId="29" xfId="93" applyNumberFormat="1" applyFont="1" applyBorder="1" applyAlignment="1">
      <alignment/>
      <protection/>
    </xf>
    <xf numFmtId="0" fontId="32" fillId="0" borderId="16" xfId="93" applyFont="1" applyBorder="1" applyAlignment="1">
      <alignment vertical="center"/>
      <protection/>
    </xf>
    <xf numFmtId="0" fontId="32" fillId="0" borderId="0" xfId="93" applyFont="1" applyBorder="1" applyAlignment="1">
      <alignment vertical="center" wrapText="1"/>
      <protection/>
    </xf>
    <xf numFmtId="0" fontId="32" fillId="0" borderId="30" xfId="93" applyFont="1" applyBorder="1" applyAlignment="1">
      <alignment horizontal="center" vertical="center"/>
      <protection/>
    </xf>
    <xf numFmtId="0" fontId="32" fillId="0" borderId="30" xfId="93" applyFont="1" applyBorder="1" applyAlignment="1">
      <alignment vertical="center"/>
      <protection/>
    </xf>
    <xf numFmtId="0" fontId="32" fillId="0" borderId="14" xfId="93" applyFont="1" applyBorder="1" applyAlignment="1">
      <alignment horizontal="center" vertical="center" wrapText="1"/>
      <protection/>
    </xf>
    <xf numFmtId="2" fontId="0" fillId="0" borderId="13" xfId="93" applyNumberFormat="1" applyFont="1" applyBorder="1" applyAlignment="1">
      <alignment horizontal="center" vertical="center"/>
      <protection/>
    </xf>
    <xf numFmtId="43" fontId="0" fillId="0" borderId="31" xfId="94" applyFont="1" applyBorder="1" applyAlignment="1">
      <alignment horizontal="center" vertical="center"/>
    </xf>
    <xf numFmtId="0" fontId="0" fillId="0" borderId="20" xfId="93" applyNumberFormat="1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center"/>
      <protection/>
    </xf>
    <xf numFmtId="0" fontId="0" fillId="0" borderId="32" xfId="93" applyFont="1" applyBorder="1" applyAlignment="1">
      <alignment horizontal="center" vertical="center"/>
      <protection/>
    </xf>
    <xf numFmtId="43" fontId="32" fillId="0" borderId="32" xfId="93" applyNumberFormat="1" applyFont="1" applyBorder="1" applyAlignment="1">
      <alignment horizontal="center" vertical="center"/>
      <protection/>
    </xf>
    <xf numFmtId="0" fontId="0" fillId="0" borderId="33" xfId="93" applyNumberFormat="1" applyFont="1" applyBorder="1" applyAlignment="1">
      <alignment horizontal="center" vertical="center"/>
      <protection/>
    </xf>
    <xf numFmtId="0" fontId="0" fillId="27" borderId="0" xfId="93" applyFont="1" applyFill="1">
      <alignment/>
      <protection/>
    </xf>
    <xf numFmtId="0" fontId="0" fillId="27" borderId="0" xfId="93" applyNumberFormat="1" applyFont="1" applyFill="1">
      <alignment/>
      <protection/>
    </xf>
    <xf numFmtId="0" fontId="0" fillId="27" borderId="0" xfId="93" applyFill="1">
      <alignment/>
      <protection/>
    </xf>
    <xf numFmtId="0" fontId="0" fillId="0" borderId="0" xfId="93">
      <alignment/>
      <protection/>
    </xf>
    <xf numFmtId="164" fontId="31" fillId="26" borderId="0" xfId="96" applyFont="1" applyFill="1" applyBorder="1" applyAlignment="1">
      <alignment/>
    </xf>
    <xf numFmtId="0" fontId="0" fillId="0" borderId="0" xfId="93" applyAlignment="1">
      <alignment horizontal="left"/>
      <protection/>
    </xf>
    <xf numFmtId="164" fontId="22" fillId="26" borderId="0" xfId="96" applyFont="1" applyFill="1" applyBorder="1" applyAlignment="1">
      <alignment/>
    </xf>
    <xf numFmtId="0" fontId="23" fillId="0" borderId="0" xfId="93" applyFont="1">
      <alignment/>
      <protection/>
    </xf>
    <xf numFmtId="0" fontId="32" fillId="0" borderId="0" xfId="93" applyFont="1">
      <alignment/>
      <protection/>
    </xf>
    <xf numFmtId="0" fontId="34" fillId="0" borderId="13" xfId="93" applyFont="1" applyBorder="1" applyAlignment="1">
      <alignment/>
      <protection/>
    </xf>
    <xf numFmtId="0" fontId="34" fillId="0" borderId="27" xfId="93" applyFont="1" applyBorder="1" applyAlignment="1">
      <alignment horizontal="center"/>
      <protection/>
    </xf>
    <xf numFmtId="0" fontId="34" fillId="0" borderId="13" xfId="93" applyFont="1" applyBorder="1" applyAlignment="1">
      <alignment horizontal="center"/>
      <protection/>
    </xf>
    <xf numFmtId="0" fontId="35" fillId="0" borderId="13" xfId="93" applyFont="1" applyBorder="1" applyAlignment="1">
      <alignment/>
      <protection/>
    </xf>
    <xf numFmtId="0" fontId="35" fillId="0" borderId="13" xfId="93" applyFont="1" applyBorder="1">
      <alignment/>
      <protection/>
    </xf>
    <xf numFmtId="164" fontId="35" fillId="0" borderId="13" xfId="97" applyFont="1" applyBorder="1"/>
    <xf numFmtId="164" fontId="35" fillId="0" borderId="13" xfId="97" applyFont="1" applyBorder="1" applyAlignment="1" quotePrefix="1">
      <alignment horizontal="right"/>
    </xf>
    <xf numFmtId="9" fontId="35" fillId="31" borderId="13" xfId="97" applyNumberFormat="1" applyFont="1" applyFill="1" applyBorder="1"/>
    <xf numFmtId="0" fontId="34" fillId="0" borderId="13" xfId="93" applyFont="1" applyBorder="1">
      <alignment/>
      <protection/>
    </xf>
    <xf numFmtId="0" fontId="23" fillId="0" borderId="13" xfId="93" applyFont="1" applyBorder="1">
      <alignment/>
      <protection/>
    </xf>
    <xf numFmtId="164" fontId="34" fillId="0" borderId="13" xfId="93" applyNumberFormat="1" applyFont="1" applyBorder="1">
      <alignment/>
      <protection/>
    </xf>
    <xf numFmtId="9" fontId="0" fillId="28" borderId="13" xfId="93" applyNumberFormat="1" applyFont="1" applyFill="1" applyBorder="1">
      <alignment/>
      <protection/>
    </xf>
    <xf numFmtId="9" fontId="0" fillId="28" borderId="13" xfId="98" applyNumberFormat="1" applyFont="1" applyFill="1" applyBorder="1"/>
    <xf numFmtId="0" fontId="36" fillId="0" borderId="13" xfId="93" applyFont="1" applyFill="1" applyBorder="1" applyAlignment="1">
      <alignment/>
      <protection/>
    </xf>
    <xf numFmtId="0" fontId="3" fillId="27" borderId="24" xfId="0" applyFont="1" applyFill="1" applyBorder="1" applyAlignment="1">
      <alignment horizontal="left"/>
    </xf>
    <xf numFmtId="0" fontId="3" fillId="26" borderId="16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left"/>
    </xf>
    <xf numFmtId="164" fontId="3" fillId="14" borderId="22" xfId="68" applyFont="1" applyFill="1" applyBorder="1" applyAlignment="1">
      <alignment horizontal="center" wrapText="1"/>
    </xf>
    <xf numFmtId="164" fontId="4" fillId="26" borderId="0" xfId="66" applyFont="1" applyFill="1" applyBorder="1" applyAlignment="1">
      <alignment horizontal="center" vertical="center" wrapText="1"/>
    </xf>
    <xf numFmtId="164" fontId="4" fillId="0" borderId="34" xfId="67" applyFont="1" applyFill="1" applyBorder="1" applyAlignment="1">
      <alignment horizontal="right"/>
    </xf>
    <xf numFmtId="164" fontId="4" fillId="27" borderId="28" xfId="68" applyFont="1" applyFill="1" applyBorder="1" applyAlignment="1">
      <alignment/>
    </xf>
    <xf numFmtId="164" fontId="4" fillId="27" borderId="29" xfId="68" applyFont="1" applyFill="1" applyBorder="1" applyAlignment="1">
      <alignment horizontal="right"/>
    </xf>
    <xf numFmtId="164" fontId="4" fillId="27" borderId="35" xfId="68" applyFont="1" applyFill="1" applyBorder="1" applyAlignment="1">
      <alignment horizontal="right"/>
    </xf>
    <xf numFmtId="164" fontId="3" fillId="27" borderId="36" xfId="68" applyFont="1" applyFill="1" applyBorder="1" applyAlignment="1">
      <alignment horizontal="right"/>
    </xf>
    <xf numFmtId="168" fontId="3" fillId="28" borderId="14" xfId="0" applyNumberFormat="1" applyFont="1" applyFill="1" applyBorder="1" applyAlignment="1">
      <alignment horizontal="right"/>
    </xf>
    <xf numFmtId="164" fontId="3" fillId="27" borderId="37" xfId="68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164" fontId="4" fillId="27" borderId="24" xfId="66" applyFont="1" applyFill="1" applyBorder="1" applyAlignment="1">
      <alignment horizontal="right"/>
    </xf>
    <xf numFmtId="44" fontId="3" fillId="32" borderId="30" xfId="92" applyFont="1" applyFill="1" applyBorder="1" applyAlignment="1">
      <alignment horizontal="left"/>
    </xf>
    <xf numFmtId="2" fontId="0" fillId="27" borderId="13" xfId="93" applyNumberFormat="1" applyFont="1" applyFill="1" applyBorder="1" applyAlignment="1">
      <alignment horizontal="center" vertical="center"/>
      <protection/>
    </xf>
    <xf numFmtId="0" fontId="32" fillId="27" borderId="13" xfId="93" applyFont="1" applyFill="1" applyBorder="1" applyAlignment="1">
      <alignment horizontal="left" vertical="top"/>
      <protection/>
    </xf>
    <xf numFmtId="43" fontId="32" fillId="27" borderId="13" xfId="94" applyFont="1" applyFill="1" applyBorder="1" applyAlignment="1">
      <alignment horizontal="center" vertical="center"/>
    </xf>
    <xf numFmtId="43" fontId="32" fillId="27" borderId="13" xfId="94" applyFont="1" applyFill="1" applyBorder="1" applyAlignment="1">
      <alignment horizontal="right" vertical="center"/>
    </xf>
    <xf numFmtId="0" fontId="4" fillId="0" borderId="0" xfId="93" applyFont="1">
      <alignment/>
      <protection/>
    </xf>
    <xf numFmtId="0" fontId="3" fillId="14" borderId="22" xfId="93" applyFont="1" applyFill="1" applyBorder="1" applyAlignment="1">
      <alignment horizontal="center"/>
      <protection/>
    </xf>
    <xf numFmtId="0" fontId="4" fillId="20" borderId="13" xfId="93" applyFont="1" applyFill="1" applyBorder="1" applyAlignment="1">
      <alignment horizontal="center"/>
      <protection/>
    </xf>
    <xf numFmtId="2" fontId="37" fillId="0" borderId="0" xfId="93" applyNumberFormat="1" applyFont="1">
      <alignment/>
      <protection/>
    </xf>
    <xf numFmtId="2" fontId="4" fillId="0" borderId="0" xfId="93" applyNumberFormat="1" applyFont="1">
      <alignment/>
      <protection/>
    </xf>
    <xf numFmtId="164" fontId="4" fillId="0" borderId="0" xfId="96" applyFont="1" applyAlignment="1">
      <alignment horizontal="center"/>
    </xf>
    <xf numFmtId="164" fontId="4" fillId="0" borderId="0" xfId="96" applyFont="1" applyAlignment="1">
      <alignment horizontal="right"/>
    </xf>
    <xf numFmtId="0" fontId="4" fillId="0" borderId="0" xfId="93" applyFont="1" applyAlignment="1">
      <alignment horizontal="left"/>
      <protection/>
    </xf>
    <xf numFmtId="0" fontId="4" fillId="0" borderId="0" xfId="93" applyFont="1" applyAlignment="1">
      <alignment horizontal="center"/>
      <protection/>
    </xf>
    <xf numFmtId="164" fontId="38" fillId="26" borderId="0" xfId="96" applyFont="1" applyFill="1" applyBorder="1" applyAlignment="1">
      <alignment vertical="center"/>
    </xf>
    <xf numFmtId="49" fontId="38" fillId="26" borderId="0" xfId="96" applyNumberFormat="1" applyFont="1" applyFill="1" applyBorder="1" applyAlignment="1">
      <alignment vertical="center"/>
    </xf>
    <xf numFmtId="0" fontId="3" fillId="27" borderId="13" xfId="0" applyFont="1" applyFill="1" applyBorder="1" applyAlignment="1">
      <alignment horizontal="left" vertical="center" wrapText="1"/>
    </xf>
    <xf numFmtId="0" fontId="3" fillId="27" borderId="24" xfId="53" applyFont="1" applyFill="1" applyBorder="1" applyAlignment="1">
      <alignment horizontal="left" vertical="center" wrapText="1"/>
      <protection/>
    </xf>
    <xf numFmtId="0" fontId="4" fillId="27" borderId="13" xfId="0" applyFont="1" applyFill="1" applyBorder="1" applyAlignment="1">
      <alignment horizontal="center" vertical="center"/>
    </xf>
    <xf numFmtId="0" fontId="32" fillId="0" borderId="13" xfId="93" applyFont="1" applyBorder="1" applyAlignment="1">
      <alignment horizontal="left" vertical="top"/>
      <protection/>
    </xf>
    <xf numFmtId="0" fontId="32" fillId="0" borderId="13" xfId="93" applyFont="1" applyBorder="1" applyAlignment="1">
      <alignment horizontal="left" vertical="justify"/>
      <protection/>
    </xf>
    <xf numFmtId="0" fontId="32" fillId="27" borderId="13" xfId="93" applyFont="1" applyFill="1" applyBorder="1" applyAlignment="1">
      <alignment horizontal="left" vertical="justify"/>
      <protection/>
    </xf>
    <xf numFmtId="0" fontId="32" fillId="0" borderId="13" xfId="93" applyFont="1" applyBorder="1" applyAlignment="1">
      <alignment horizontal="center" vertical="center"/>
      <protection/>
    </xf>
    <xf numFmtId="0" fontId="32" fillId="0" borderId="13" xfId="93" applyFont="1" applyBorder="1" applyAlignment="1">
      <alignment horizontal="center" vertical="center" wrapText="1"/>
      <protection/>
    </xf>
    <xf numFmtId="0" fontId="0" fillId="0" borderId="13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/>
      <protection/>
    </xf>
    <xf numFmtId="0" fontId="4" fillId="26" borderId="0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0" fillId="0" borderId="0" xfId="93" applyFont="1">
      <alignment/>
      <protection/>
    </xf>
    <xf numFmtId="0" fontId="4" fillId="0" borderId="0" xfId="93" applyFont="1" applyBorder="1">
      <alignment/>
      <protection/>
    </xf>
    <xf numFmtId="0" fontId="3" fillId="0" borderId="33" xfId="0" applyFont="1" applyFill="1" applyBorder="1" applyAlignment="1">
      <alignment horizontal="left"/>
    </xf>
    <xf numFmtId="0" fontId="32" fillId="0" borderId="20" xfId="93" applyNumberFormat="1" applyFont="1" applyBorder="1" applyAlignment="1">
      <alignment vertical="top"/>
      <protection/>
    </xf>
    <xf numFmtId="0" fontId="32" fillId="0" borderId="19" xfId="93" applyFont="1" applyBorder="1" applyAlignment="1">
      <alignment horizontal="left" vertical="top"/>
      <protection/>
    </xf>
    <xf numFmtId="0" fontId="32" fillId="0" borderId="20" xfId="93" applyNumberFormat="1" applyFont="1" applyBorder="1" applyAlignment="1">
      <alignment horizontal="left" vertical="top"/>
      <protection/>
    </xf>
    <xf numFmtId="0" fontId="0" fillId="27" borderId="19" xfId="93" applyFont="1" applyFill="1" applyBorder="1" applyAlignment="1">
      <alignment horizontal="left" vertical="top" wrapText="1"/>
      <protection/>
    </xf>
    <xf numFmtId="0" fontId="0" fillId="27" borderId="20" xfId="93" applyNumberFormat="1" applyFont="1" applyFill="1" applyBorder="1" applyAlignment="1">
      <alignment horizontal="center" vertical="center"/>
      <protection/>
    </xf>
    <xf numFmtId="0" fontId="32" fillId="27" borderId="19" xfId="93" applyFont="1" applyFill="1" applyBorder="1" applyAlignment="1">
      <alignment horizontal="left" vertical="top"/>
      <protection/>
    </xf>
    <xf numFmtId="0" fontId="32" fillId="27" borderId="20" xfId="93" applyNumberFormat="1" applyFont="1" applyFill="1" applyBorder="1" applyAlignment="1">
      <alignment horizontal="left" vertical="top"/>
      <protection/>
    </xf>
    <xf numFmtId="0" fontId="32" fillId="27" borderId="19" xfId="93" applyFont="1" applyFill="1" applyBorder="1" applyAlignment="1">
      <alignment horizontal="left" vertical="justify"/>
      <protection/>
    </xf>
    <xf numFmtId="0" fontId="0" fillId="27" borderId="19" xfId="93" applyFont="1" applyFill="1" applyBorder="1" applyAlignment="1">
      <alignment wrapText="1"/>
      <protection/>
    </xf>
    <xf numFmtId="49" fontId="0" fillId="27" borderId="20" xfId="93" applyNumberFormat="1" applyFont="1" applyFill="1" applyBorder="1" applyAlignment="1">
      <alignment horizontal="center" vertical="center"/>
      <protection/>
    </xf>
    <xf numFmtId="0" fontId="0" fillId="0" borderId="19" xfId="93" applyFont="1" applyBorder="1" applyAlignment="1">
      <alignment wrapText="1"/>
      <protection/>
    </xf>
    <xf numFmtId="0" fontId="32" fillId="0" borderId="19" xfId="93" applyFont="1" applyBorder="1">
      <alignment/>
      <protection/>
    </xf>
    <xf numFmtId="0" fontId="0" fillId="0" borderId="19" xfId="93" applyFont="1" applyBorder="1">
      <alignment/>
      <protection/>
    </xf>
    <xf numFmtId="0" fontId="32" fillId="0" borderId="34" xfId="93" applyFont="1" applyBorder="1">
      <alignment/>
      <protection/>
    </xf>
    <xf numFmtId="0" fontId="0" fillId="27" borderId="16" xfId="93" applyFont="1" applyFill="1" applyBorder="1">
      <alignment/>
      <protection/>
    </xf>
    <xf numFmtId="0" fontId="0" fillId="27" borderId="0" xfId="93" applyFont="1" applyFill="1" applyBorder="1">
      <alignment/>
      <protection/>
    </xf>
    <xf numFmtId="0" fontId="0" fillId="27" borderId="17" xfId="93" applyNumberFormat="1" applyFont="1" applyFill="1" applyBorder="1">
      <alignment/>
      <protection/>
    </xf>
    <xf numFmtId="0" fontId="31" fillId="0" borderId="20" xfId="93" applyNumberFormat="1" applyFont="1" applyBorder="1" applyAlignment="1">
      <alignment/>
      <protection/>
    </xf>
    <xf numFmtId="0" fontId="32" fillId="0" borderId="19" xfId="93" applyFont="1" applyBorder="1" applyAlignment="1">
      <alignment horizontal="center" vertical="center"/>
      <protection/>
    </xf>
    <xf numFmtId="0" fontId="32" fillId="0" borderId="19" xfId="93" applyFont="1" applyBorder="1" applyAlignment="1">
      <alignment horizontal="left" vertical="justify"/>
      <protection/>
    </xf>
    <xf numFmtId="49" fontId="0" fillId="0" borderId="20" xfId="93" applyNumberFormat="1" applyFont="1" applyBorder="1" applyAlignment="1">
      <alignment horizontal="center" vertical="center"/>
      <protection/>
    </xf>
    <xf numFmtId="0" fontId="0" fillId="27" borderId="19" xfId="93" applyFont="1" applyFill="1" applyBorder="1">
      <alignment/>
      <protection/>
    </xf>
    <xf numFmtId="0" fontId="0" fillId="27" borderId="20" xfId="93" applyNumberFormat="1" applyFont="1" applyFill="1" applyBorder="1">
      <alignment/>
      <protection/>
    </xf>
    <xf numFmtId="0" fontId="0" fillId="0" borderId="19" xfId="93" applyFont="1" applyBorder="1" applyAlignment="1">
      <alignment horizontal="left" vertical="top" wrapText="1"/>
      <protection/>
    </xf>
    <xf numFmtId="0" fontId="31" fillId="0" borderId="31" xfId="93" applyFont="1" applyBorder="1" applyAlignment="1">
      <alignment horizontal="right"/>
      <protection/>
    </xf>
    <xf numFmtId="0" fontId="31" fillId="0" borderId="31" xfId="93" applyNumberFormat="1" applyFont="1" applyBorder="1" applyAlignment="1">
      <alignment/>
      <protection/>
    </xf>
    <xf numFmtId="0" fontId="22" fillId="27" borderId="0" xfId="93" applyFont="1" applyFill="1" applyBorder="1" applyAlignment="1">
      <alignment horizontal="right" vertical="center"/>
      <protection/>
    </xf>
    <xf numFmtId="0" fontId="31" fillId="27" borderId="0" xfId="93" applyFont="1" applyFill="1" applyBorder="1" applyAlignment="1">
      <alignment/>
      <protection/>
    </xf>
    <xf numFmtId="49" fontId="32" fillId="27" borderId="0" xfId="93" applyNumberFormat="1" applyFont="1" applyFill="1" applyBorder="1">
      <alignment/>
      <protection/>
    </xf>
    <xf numFmtId="164" fontId="4" fillId="26" borderId="0" xfId="68" applyFont="1" applyFill="1" applyBorder="1" applyAlignment="1">
      <alignment/>
    </xf>
    <xf numFmtId="164" fontId="3" fillId="26" borderId="0" xfId="68" applyFont="1" applyFill="1" applyBorder="1" applyAlignment="1">
      <alignment/>
    </xf>
    <xf numFmtId="164" fontId="22" fillId="26" borderId="0" xfId="68" applyFont="1" applyFill="1" applyBorder="1" applyAlignment="1">
      <alignment/>
    </xf>
    <xf numFmtId="164" fontId="3" fillId="14" borderId="21" xfId="96" applyFont="1" applyFill="1" applyBorder="1" applyAlignment="1">
      <alignment horizontal="center"/>
    </xf>
    <xf numFmtId="164" fontId="3" fillId="20" borderId="19" xfId="66" applyFont="1" applyFill="1" applyBorder="1" applyAlignment="1">
      <alignment horizontal="center"/>
    </xf>
    <xf numFmtId="164" fontId="4" fillId="27" borderId="19" xfId="66" applyFont="1" applyFill="1" applyBorder="1" applyAlignment="1">
      <alignment horizontal="center"/>
    </xf>
    <xf numFmtId="164" fontId="3" fillId="14" borderId="22" xfId="68" applyFont="1" applyFill="1" applyBorder="1" applyAlignment="1">
      <alignment horizontal="right"/>
    </xf>
    <xf numFmtId="44" fontId="2" fillId="28" borderId="32" xfId="92" applyFont="1" applyFill="1" applyBorder="1" applyAlignment="1">
      <alignment horizontal="left"/>
    </xf>
    <xf numFmtId="0" fontId="0" fillId="27" borderId="0" xfId="93" applyFill="1" applyAlignment="1">
      <alignment horizontal="left"/>
      <protection/>
    </xf>
    <xf numFmtId="164" fontId="0" fillId="27" borderId="0" xfId="93" applyNumberFormat="1" applyFill="1">
      <alignment/>
      <protection/>
    </xf>
    <xf numFmtId="0" fontId="3" fillId="26" borderId="0" xfId="0" applyFont="1" applyFill="1" applyBorder="1" applyAlignment="1">
      <alignment horizontal="center"/>
    </xf>
    <xf numFmtId="0" fontId="42" fillId="0" borderId="0" xfId="0" applyFont="1"/>
    <xf numFmtId="0" fontId="42" fillId="27" borderId="0" xfId="0" applyFont="1" applyFill="1" applyBorder="1" applyAlignment="1">
      <alignment vertical="center"/>
    </xf>
    <xf numFmtId="0" fontId="44" fillId="27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left" vertical="center"/>
    </xf>
    <xf numFmtId="0" fontId="42" fillId="0" borderId="0" xfId="0" applyFont="1" applyBorder="1"/>
    <xf numFmtId="0" fontId="47" fillId="33" borderId="39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8" fillId="0" borderId="41" xfId="0" applyFont="1" applyBorder="1" applyAlignment="1">
      <alignment horizontal="left" wrapText="1"/>
    </xf>
    <xf numFmtId="0" fontId="48" fillId="0" borderId="41" xfId="0" applyFont="1" applyBorder="1" applyAlignment="1">
      <alignment horizontal="center" vertical="center" wrapText="1"/>
    </xf>
    <xf numFmtId="2" fontId="48" fillId="0" borderId="41" xfId="0" applyNumberFormat="1" applyFont="1" applyBorder="1" applyAlignment="1">
      <alignment horizontal="center" wrapText="1"/>
    </xf>
    <xf numFmtId="168" fontId="48" fillId="0" borderId="41" xfId="0" applyNumberFormat="1" applyFont="1" applyBorder="1" applyAlignment="1">
      <alignment horizontal="right" wrapText="1"/>
    </xf>
    <xf numFmtId="0" fontId="44" fillId="27" borderId="0" xfId="0" applyFont="1" applyFill="1" applyBorder="1" applyAlignment="1">
      <alignment vertical="center"/>
    </xf>
    <xf numFmtId="14" fontId="42" fillId="27" borderId="0" xfId="0" applyNumberFormat="1" applyFont="1" applyFill="1" applyBorder="1" applyAlignment="1">
      <alignment vertical="center"/>
    </xf>
    <xf numFmtId="0" fontId="43" fillId="27" borderId="0" xfId="0" applyFont="1" applyFill="1" applyBorder="1" applyAlignment="1">
      <alignment vertical="center" wrapText="1"/>
    </xf>
    <xf numFmtId="0" fontId="43" fillId="27" borderId="0" xfId="0" applyFont="1" applyFill="1" applyBorder="1" applyAlignment="1">
      <alignment vertical="center"/>
    </xf>
    <xf numFmtId="0" fontId="42" fillId="0" borderId="42" xfId="0" applyFont="1" applyBorder="1"/>
    <xf numFmtId="0" fontId="42" fillId="0" borderId="43" xfId="0" applyFont="1" applyBorder="1"/>
    <xf numFmtId="0" fontId="47" fillId="33" borderId="44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168" fontId="48" fillId="0" borderId="47" xfId="0" applyNumberFormat="1" applyFont="1" applyBorder="1" applyAlignment="1">
      <alignment horizontal="right" wrapText="1"/>
    </xf>
    <xf numFmtId="168" fontId="49" fillId="0" borderId="47" xfId="0" applyNumberFormat="1" applyFont="1" applyBorder="1" applyAlignment="1">
      <alignment horizontal="right" wrapText="1"/>
    </xf>
    <xf numFmtId="168" fontId="49" fillId="0" borderId="48" xfId="0" applyNumberFormat="1" applyFont="1" applyBorder="1" applyAlignment="1">
      <alignment horizontal="right" wrapText="1"/>
    </xf>
    <xf numFmtId="168" fontId="51" fillId="25" borderId="45" xfId="99" applyNumberFormat="1" applyFont="1" applyBorder="1" applyAlignment="1">
      <alignment horizontal="center" vertical="center" wrapText="1"/>
    </xf>
    <xf numFmtId="168" fontId="51" fillId="25" borderId="49" xfId="99" applyNumberFormat="1" applyFont="1" applyBorder="1" applyAlignment="1">
      <alignment horizontal="center" vertical="center" wrapText="1"/>
    </xf>
    <xf numFmtId="0" fontId="4" fillId="26" borderId="0" xfId="0" applyFont="1" applyFill="1" applyBorder="1" applyAlignment="1">
      <alignment wrapText="1"/>
    </xf>
    <xf numFmtId="0" fontId="4" fillId="26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169" fontId="3" fillId="20" borderId="0" xfId="68" applyNumberFormat="1" applyFont="1" applyFill="1" applyBorder="1" applyAlignment="1">
      <alignment horizontal="right"/>
    </xf>
    <xf numFmtId="0" fontId="3" fillId="14" borderId="31" xfId="0" applyFont="1" applyFill="1" applyBorder="1" applyAlignment="1">
      <alignment horizontal="center"/>
    </xf>
    <xf numFmtId="0" fontId="4" fillId="27" borderId="14" xfId="112" applyFont="1" applyFill="1" applyBorder="1">
      <alignment/>
      <protection/>
    </xf>
    <xf numFmtId="0" fontId="4" fillId="27" borderId="11" xfId="112" applyFont="1" applyFill="1" applyBorder="1">
      <alignment/>
      <protection/>
    </xf>
    <xf numFmtId="0" fontId="4" fillId="27" borderId="15" xfId="112" applyFont="1" applyFill="1" applyBorder="1">
      <alignment/>
      <protection/>
    </xf>
    <xf numFmtId="0" fontId="4" fillId="0" borderId="0" xfId="112" applyFont="1">
      <alignment/>
      <protection/>
    </xf>
    <xf numFmtId="0" fontId="4" fillId="27" borderId="16" xfId="112" applyFont="1" applyFill="1" applyBorder="1">
      <alignment/>
      <protection/>
    </xf>
    <xf numFmtId="0" fontId="4" fillId="27" borderId="0" xfId="112" applyFont="1" applyFill="1" applyBorder="1">
      <alignment/>
      <protection/>
    </xf>
    <xf numFmtId="0" fontId="4" fillId="27" borderId="17" xfId="112" applyFont="1" applyFill="1" applyBorder="1">
      <alignment/>
      <protection/>
    </xf>
    <xf numFmtId="0" fontId="4" fillId="34" borderId="0" xfId="112" applyFont="1" applyFill="1">
      <alignment/>
      <protection/>
    </xf>
    <xf numFmtId="0" fontId="4" fillId="0" borderId="0" xfId="112" applyFont="1" applyAlignment="1">
      <alignment horizontal="right"/>
      <protection/>
    </xf>
    <xf numFmtId="0" fontId="4" fillId="27" borderId="28" xfId="112" applyFont="1" applyFill="1" applyBorder="1">
      <alignment/>
      <protection/>
    </xf>
    <xf numFmtId="0" fontId="3" fillId="26" borderId="50" xfId="112" applyFont="1" applyFill="1" applyBorder="1" applyAlignment="1">
      <alignment horizontal="left"/>
      <protection/>
    </xf>
    <xf numFmtId="10" fontId="3" fillId="26" borderId="50" xfId="112" applyNumberFormat="1" applyFont="1" applyFill="1" applyBorder="1" applyAlignment="1">
      <alignment horizontal="left"/>
      <protection/>
    </xf>
    <xf numFmtId="0" fontId="3" fillId="26" borderId="50" xfId="112" applyFont="1" applyFill="1" applyBorder="1" applyAlignment="1">
      <alignment horizontal="right"/>
      <protection/>
    </xf>
    <xf numFmtId="10" fontId="3" fillId="26" borderId="50" xfId="113" applyNumberFormat="1" applyFont="1" applyFill="1" applyBorder="1"/>
    <xf numFmtId="10" fontId="3" fillId="26" borderId="29" xfId="112" applyNumberFormat="1" applyFont="1" applyFill="1" applyBorder="1" applyAlignment="1">
      <alignment horizontal="left"/>
      <protection/>
    </xf>
    <xf numFmtId="0" fontId="53" fillId="0" borderId="0" xfId="112" applyFont="1">
      <alignment/>
      <protection/>
    </xf>
    <xf numFmtId="0" fontId="3" fillId="26" borderId="0" xfId="112" applyFont="1" applyFill="1" applyBorder="1" applyAlignment="1">
      <alignment horizontal="center" wrapText="1"/>
      <protection/>
    </xf>
    <xf numFmtId="0" fontId="3" fillId="26" borderId="17" xfId="112" applyFont="1" applyFill="1" applyBorder="1" applyAlignment="1">
      <alignment horizontal="center" wrapText="1"/>
      <protection/>
    </xf>
    <xf numFmtId="0" fontId="4" fillId="0" borderId="14" xfId="112" applyFont="1" applyFill="1" applyBorder="1">
      <alignment/>
      <protection/>
    </xf>
    <xf numFmtId="0" fontId="54" fillId="26" borderId="15" xfId="112" applyFont="1" applyFill="1" applyBorder="1">
      <alignment/>
      <protection/>
    </xf>
    <xf numFmtId="0" fontId="4" fillId="32" borderId="37" xfId="112" applyFont="1" applyFill="1" applyBorder="1">
      <alignment/>
      <protection/>
    </xf>
    <xf numFmtId="0" fontId="55" fillId="26" borderId="12" xfId="112" applyFont="1" applyFill="1" applyBorder="1">
      <alignment/>
      <protection/>
    </xf>
    <xf numFmtId="0" fontId="4" fillId="27" borderId="12" xfId="112" applyFont="1" applyFill="1" applyBorder="1">
      <alignment/>
      <protection/>
    </xf>
    <xf numFmtId="0" fontId="54" fillId="26" borderId="18" xfId="112" applyFont="1" applyFill="1" applyBorder="1">
      <alignment/>
      <protection/>
    </xf>
    <xf numFmtId="0" fontId="3" fillId="26" borderId="50" xfId="112" applyFont="1" applyFill="1" applyBorder="1" applyAlignment="1">
      <alignment horizontal="center" wrapText="1"/>
      <protection/>
    </xf>
    <xf numFmtId="0" fontId="3" fillId="26" borderId="29" xfId="112" applyFont="1" applyFill="1" applyBorder="1" applyAlignment="1">
      <alignment horizontal="center" wrapText="1"/>
      <protection/>
    </xf>
    <xf numFmtId="0" fontId="3" fillId="26" borderId="51" xfId="112" applyFont="1" applyFill="1" applyBorder="1" applyAlignment="1">
      <alignment horizontal="center" wrapText="1"/>
      <protection/>
    </xf>
    <xf numFmtId="0" fontId="4" fillId="0" borderId="28" xfId="112" applyFont="1" applyFill="1" applyBorder="1">
      <alignment/>
      <protection/>
    </xf>
    <xf numFmtId="0" fontId="3" fillId="26" borderId="36" xfId="112" applyFont="1" applyFill="1" applyBorder="1" applyAlignment="1">
      <alignment horizontal="center" wrapText="1"/>
      <protection/>
    </xf>
    <xf numFmtId="0" fontId="3" fillId="26" borderId="18" xfId="112" applyFont="1" applyFill="1" applyBorder="1" applyAlignment="1">
      <alignment horizontal="center" wrapText="1"/>
      <protection/>
    </xf>
    <xf numFmtId="0" fontId="4" fillId="34" borderId="14" xfId="112" applyFont="1" applyFill="1" applyBorder="1" applyAlignment="1">
      <alignment/>
      <protection/>
    </xf>
    <xf numFmtId="0" fontId="4" fillId="16" borderId="0" xfId="112" applyFont="1" applyFill="1" applyBorder="1" applyAlignment="1">
      <alignment wrapText="1"/>
      <protection/>
    </xf>
    <xf numFmtId="0" fontId="3" fillId="16" borderId="0" xfId="112" applyFont="1" applyFill="1" applyBorder="1" applyAlignment="1">
      <alignment horizontal="center" wrapText="1"/>
      <protection/>
    </xf>
    <xf numFmtId="2" fontId="3" fillId="16" borderId="17" xfId="114" applyNumberFormat="1" applyFont="1" applyFill="1" applyBorder="1" applyAlignment="1">
      <alignment horizontal="right" wrapText="1"/>
    </xf>
    <xf numFmtId="0" fontId="4" fillId="34" borderId="16" xfId="112" applyFont="1" applyFill="1" applyBorder="1" applyAlignment="1">
      <alignment wrapText="1"/>
      <protection/>
    </xf>
    <xf numFmtId="0" fontId="4" fillId="16" borderId="0" xfId="112" applyFont="1" applyFill="1" applyBorder="1" applyAlignment="1">
      <alignment horizontal="center" wrapText="1"/>
      <protection/>
    </xf>
    <xf numFmtId="0" fontId="4" fillId="35" borderId="16" xfId="112" applyFont="1" applyFill="1" applyBorder="1">
      <alignment/>
      <protection/>
    </xf>
    <xf numFmtId="0" fontId="4" fillId="36" borderId="0" xfId="112" applyFont="1" applyFill="1" applyBorder="1" applyAlignment="1">
      <alignment wrapText="1"/>
      <protection/>
    </xf>
    <xf numFmtId="0" fontId="3" fillId="36" borderId="0" xfId="112" applyFont="1" applyFill="1" applyBorder="1" applyAlignment="1">
      <alignment horizontal="center" wrapText="1"/>
      <protection/>
    </xf>
    <xf numFmtId="164" fontId="3" fillId="36" borderId="17" xfId="114" applyFont="1" applyFill="1" applyBorder="1" applyAlignment="1">
      <alignment horizontal="right" wrapText="1"/>
    </xf>
    <xf numFmtId="0" fontId="4" fillId="31" borderId="16" xfId="112" applyFont="1" applyFill="1" applyBorder="1" applyAlignment="1">
      <alignment horizontal="center"/>
      <protection/>
    </xf>
    <xf numFmtId="170" fontId="3" fillId="36" borderId="0" xfId="112" applyNumberFormat="1" applyFont="1" applyFill="1" applyBorder="1" applyAlignment="1">
      <alignment horizontal="center" wrapText="1"/>
      <protection/>
    </xf>
    <xf numFmtId="2" fontId="3" fillId="36" borderId="0" xfId="112" applyNumberFormat="1" applyFont="1" applyFill="1" applyBorder="1" applyAlignment="1">
      <alignment horizontal="center" wrapText="1"/>
      <protection/>
    </xf>
    <xf numFmtId="0" fontId="4" fillId="35" borderId="16" xfId="112" applyFont="1" applyFill="1" applyBorder="1" applyAlignment="1">
      <alignment horizontal="center"/>
      <protection/>
    </xf>
    <xf numFmtId="49" fontId="4" fillId="35" borderId="16" xfId="112" applyNumberFormat="1" applyFont="1" applyFill="1" applyBorder="1" applyAlignment="1">
      <alignment horizontal="center"/>
      <protection/>
    </xf>
    <xf numFmtId="2" fontId="3" fillId="36" borderId="17" xfId="114" applyNumberFormat="1" applyFont="1" applyFill="1" applyBorder="1" applyAlignment="1">
      <alignment horizontal="right" wrapText="1"/>
    </xf>
    <xf numFmtId="171" fontId="3" fillId="36" borderId="0" xfId="112" applyNumberFormat="1" applyFont="1" applyFill="1" applyBorder="1" applyAlignment="1">
      <alignment horizontal="center" wrapText="1"/>
      <protection/>
    </xf>
    <xf numFmtId="0" fontId="4" fillId="34" borderId="16" xfId="112" applyFont="1" applyFill="1" applyBorder="1">
      <alignment/>
      <protection/>
    </xf>
    <xf numFmtId="0" fontId="4" fillId="34" borderId="0" xfId="112" applyFont="1" applyFill="1" applyBorder="1" applyAlignment="1">
      <alignment wrapText="1"/>
      <protection/>
    </xf>
    <xf numFmtId="0" fontId="3" fillId="34" borderId="0" xfId="112" applyFont="1" applyFill="1" applyBorder="1" applyAlignment="1">
      <alignment horizontal="center" wrapText="1"/>
      <protection/>
    </xf>
    <xf numFmtId="2" fontId="3" fillId="34" borderId="0" xfId="112" applyNumberFormat="1" applyFont="1" applyFill="1" applyBorder="1" applyAlignment="1">
      <alignment horizontal="center" wrapText="1"/>
      <protection/>
    </xf>
    <xf numFmtId="2" fontId="3" fillId="34" borderId="17" xfId="114" applyNumberFormat="1" applyFont="1" applyFill="1" applyBorder="1" applyAlignment="1">
      <alignment horizontal="right" wrapText="1"/>
    </xf>
    <xf numFmtId="0" fontId="4" fillId="27" borderId="0" xfId="112" applyFont="1" applyFill="1" applyBorder="1" applyAlignment="1">
      <alignment wrapText="1"/>
      <protection/>
    </xf>
    <xf numFmtId="0" fontId="3" fillId="27" borderId="0" xfId="112" applyFont="1" applyFill="1" applyBorder="1" applyAlignment="1">
      <alignment horizontal="center" wrapText="1"/>
      <protection/>
    </xf>
    <xf numFmtId="164" fontId="3" fillId="27" borderId="17" xfId="114" applyFont="1" applyFill="1" applyBorder="1" applyAlignment="1">
      <alignment horizontal="right" wrapText="1"/>
    </xf>
    <xf numFmtId="164" fontId="3" fillId="16" borderId="17" xfId="114" applyFont="1" applyFill="1" applyBorder="1" applyAlignment="1">
      <alignment horizontal="right" wrapText="1"/>
    </xf>
    <xf numFmtId="0" fontId="4" fillId="27" borderId="16" xfId="112" applyFont="1" applyFill="1" applyBorder="1" applyAlignment="1">
      <alignment/>
      <protection/>
    </xf>
    <xf numFmtId="0" fontId="4" fillId="27" borderId="0" xfId="112" applyFont="1" applyFill="1" applyBorder="1" applyAlignment="1">
      <alignment/>
      <protection/>
    </xf>
    <xf numFmtId="0" fontId="4" fillId="27" borderId="17" xfId="112" applyFont="1" applyFill="1" applyBorder="1" applyAlignment="1">
      <alignment/>
      <protection/>
    </xf>
    <xf numFmtId="0" fontId="4" fillId="32" borderId="14" xfId="112" applyFont="1" applyFill="1" applyBorder="1">
      <alignment/>
      <protection/>
    </xf>
    <xf numFmtId="164" fontId="4" fillId="0" borderId="0" xfId="112" applyNumberFormat="1" applyFont="1">
      <alignment/>
      <protection/>
    </xf>
    <xf numFmtId="0" fontId="4" fillId="0" borderId="37" xfId="112" applyFont="1" applyFill="1" applyBorder="1">
      <alignment/>
      <protection/>
    </xf>
    <xf numFmtId="0" fontId="4" fillId="35" borderId="16" xfId="112" applyFont="1" applyFill="1" applyBorder="1" applyAlignment="1">
      <alignment horizontal="center" vertical="center"/>
      <protection/>
    </xf>
    <xf numFmtId="49" fontId="4" fillId="35" borderId="16" xfId="112" applyNumberFormat="1" applyFont="1" applyFill="1" applyBorder="1" applyAlignment="1">
      <alignment horizontal="center" vertical="center"/>
      <protection/>
    </xf>
    <xf numFmtId="0" fontId="4" fillId="35" borderId="16" xfId="112" applyFont="1" applyFill="1" applyBorder="1" applyAlignment="1">
      <alignment horizontal="center" wrapText="1"/>
      <protection/>
    </xf>
    <xf numFmtId="0" fontId="4" fillId="0" borderId="16" xfId="112" applyFont="1" applyFill="1" applyBorder="1">
      <alignment/>
      <protection/>
    </xf>
    <xf numFmtId="0" fontId="4" fillId="0" borderId="0" xfId="112" applyFont="1" applyFill="1" applyBorder="1" applyAlignment="1">
      <alignment wrapText="1"/>
      <protection/>
    </xf>
    <xf numFmtId="0" fontId="3" fillId="0" borderId="0" xfId="112" applyFont="1" applyFill="1" applyBorder="1" applyAlignment="1">
      <alignment horizontal="center" wrapText="1"/>
      <protection/>
    </xf>
    <xf numFmtId="164" fontId="3" fillId="0" borderId="17" xfId="114" applyFont="1" applyFill="1" applyBorder="1" applyAlignment="1">
      <alignment horizontal="right" wrapText="1"/>
    </xf>
    <xf numFmtId="0" fontId="4" fillId="0" borderId="0" xfId="112" applyFont="1" applyFill="1">
      <alignment/>
      <protection/>
    </xf>
    <xf numFmtId="0" fontId="4" fillId="32" borderId="28" xfId="112" applyFont="1" applyFill="1" applyBorder="1">
      <alignment/>
      <protection/>
    </xf>
    <xf numFmtId="0" fontId="54" fillId="26" borderId="29" xfId="112" applyFont="1" applyFill="1" applyBorder="1">
      <alignment/>
      <protection/>
    </xf>
    <xf numFmtId="0" fontId="4" fillId="36" borderId="0" xfId="112" applyFont="1" applyFill="1" applyBorder="1" applyAlignment="1">
      <alignment horizontal="left" wrapText="1"/>
      <protection/>
    </xf>
    <xf numFmtId="0" fontId="4" fillId="26" borderId="0" xfId="112" applyFont="1" applyFill="1" applyBorder="1" applyAlignment="1">
      <alignment wrapText="1"/>
      <protection/>
    </xf>
    <xf numFmtId="164" fontId="3" fillId="26" borderId="17" xfId="114" applyFont="1" applyFill="1" applyBorder="1" applyAlignment="1">
      <alignment horizontal="right" wrapText="1"/>
    </xf>
    <xf numFmtId="0" fontId="4" fillId="27" borderId="52" xfId="112" applyFont="1" applyFill="1" applyBorder="1">
      <alignment/>
      <protection/>
    </xf>
    <xf numFmtId="0" fontId="4" fillId="27" borderId="53" xfId="112" applyFont="1" applyFill="1" applyBorder="1" applyAlignment="1">
      <alignment wrapText="1"/>
      <protection/>
    </xf>
    <xf numFmtId="0" fontId="3" fillId="27" borderId="53" xfId="112" applyFont="1" applyFill="1" applyBorder="1" applyAlignment="1">
      <alignment horizontal="center" wrapText="1"/>
      <protection/>
    </xf>
    <xf numFmtId="164" fontId="3" fillId="27" borderId="54" xfId="114" applyFont="1" applyFill="1" applyBorder="1" applyAlignment="1">
      <alignment horizontal="right" wrapText="1"/>
    </xf>
    <xf numFmtId="0" fontId="4" fillId="27" borderId="37" xfId="112" applyFont="1" applyFill="1" applyBorder="1">
      <alignment/>
      <protection/>
    </xf>
    <xf numFmtId="0" fontId="4" fillId="27" borderId="18" xfId="112" applyFont="1" applyFill="1" applyBorder="1">
      <alignment/>
      <protection/>
    </xf>
    <xf numFmtId="0" fontId="4" fillId="27" borderId="0" xfId="112" applyFont="1" applyFill="1">
      <alignment/>
      <protection/>
    </xf>
    <xf numFmtId="0" fontId="54" fillId="26" borderId="11" xfId="112" applyFont="1" applyFill="1" applyBorder="1">
      <alignment/>
      <protection/>
    </xf>
    <xf numFmtId="0" fontId="54" fillId="26" borderId="12" xfId="112" applyFont="1" applyFill="1" applyBorder="1">
      <alignment/>
      <protection/>
    </xf>
    <xf numFmtId="0" fontId="44" fillId="33" borderId="0" xfId="0" applyFont="1" applyFill="1" applyBorder="1" applyAlignment="1">
      <alignment horizontal="center" vertical="center" wrapText="1"/>
    </xf>
    <xf numFmtId="0" fontId="3" fillId="26" borderId="12" xfId="112" applyFont="1" applyFill="1" applyBorder="1" applyAlignment="1">
      <alignment horizont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wrapText="1"/>
    </xf>
    <xf numFmtId="2" fontId="48" fillId="0" borderId="0" xfId="0" applyNumberFormat="1" applyFont="1" applyBorder="1" applyAlignment="1">
      <alignment horizontal="center" wrapText="1"/>
    </xf>
    <xf numFmtId="168" fontId="48" fillId="0" borderId="0" xfId="112" applyNumberFormat="1" applyFont="1" applyBorder="1" applyAlignment="1">
      <alignment horizontal="right" wrapText="1"/>
      <protection/>
    </xf>
    <xf numFmtId="168" fontId="48" fillId="0" borderId="0" xfId="0" applyNumberFormat="1" applyFont="1" applyBorder="1" applyAlignment="1">
      <alignment horizontal="right" wrapText="1"/>
    </xf>
    <xf numFmtId="2" fontId="3" fillId="16" borderId="0" xfId="114" applyNumberFormat="1" applyFont="1" applyFill="1" applyBorder="1" applyAlignment="1">
      <alignment horizontal="right" wrapText="1"/>
    </xf>
    <xf numFmtId="168" fontId="49" fillId="0" borderId="0" xfId="0" applyNumberFormat="1" applyFont="1" applyBorder="1" applyAlignment="1">
      <alignment horizontal="right" wrapText="1"/>
    </xf>
    <xf numFmtId="164" fontId="3" fillId="36" borderId="0" xfId="114" applyFont="1" applyFill="1" applyBorder="1" applyAlignment="1">
      <alignment horizontal="right" wrapText="1"/>
    </xf>
    <xf numFmtId="171" fontId="48" fillId="0" borderId="0" xfId="0" applyNumberFormat="1" applyFont="1" applyBorder="1" applyAlignment="1">
      <alignment horizontal="center" wrapText="1"/>
    </xf>
    <xf numFmtId="2" fontId="3" fillId="36" borderId="0" xfId="114" applyNumberFormat="1" applyFont="1" applyFill="1" applyBorder="1" applyAlignment="1">
      <alignment horizontal="right" wrapText="1"/>
    </xf>
    <xf numFmtId="0" fontId="3" fillId="36" borderId="0" xfId="112" applyFont="1" applyFill="1" applyBorder="1" applyAlignment="1">
      <alignment horizontal="center" vertical="center" wrapText="1"/>
      <protection/>
    </xf>
    <xf numFmtId="2" fontId="3" fillId="36" borderId="0" xfId="112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horizontal="right"/>
    </xf>
    <xf numFmtId="0" fontId="4" fillId="35" borderId="16" xfId="112" applyFont="1" applyFill="1" applyBorder="1" applyAlignment="1">
      <alignment horizontal="center" vertical="center" wrapText="1"/>
      <protection/>
    </xf>
    <xf numFmtId="0" fontId="4" fillId="36" borderId="0" xfId="112" applyFont="1" applyFill="1" applyBorder="1" applyAlignment="1">
      <alignment horizontal="left" vertical="center" wrapText="1"/>
      <protection/>
    </xf>
    <xf numFmtId="49" fontId="3" fillId="36" borderId="0" xfId="112" applyNumberFormat="1" applyFont="1" applyFill="1" applyBorder="1" applyAlignment="1">
      <alignment horizontal="center" vertical="center" wrapText="1"/>
      <protection/>
    </xf>
    <xf numFmtId="2" fontId="3" fillId="34" borderId="0" xfId="114" applyNumberFormat="1" applyFont="1" applyFill="1" applyBorder="1" applyAlignment="1">
      <alignment horizontal="right" wrapText="1"/>
    </xf>
    <xf numFmtId="168" fontId="51" fillId="22" borderId="0" xfId="52" applyNumberFormat="1" applyFont="1" applyBorder="1" applyAlignment="1">
      <alignment horizontal="center" vertical="center" wrapText="1"/>
    </xf>
    <xf numFmtId="0" fontId="57" fillId="27" borderId="0" xfId="52" applyFont="1" applyFill="1" applyBorder="1" applyAlignment="1">
      <alignment horizontal="left" vertical="center"/>
    </xf>
    <xf numFmtId="0" fontId="51" fillId="27" borderId="0" xfId="52" applyFont="1" applyFill="1" applyBorder="1" applyAlignment="1">
      <alignment horizontal="center" wrapText="1"/>
    </xf>
    <xf numFmtId="168" fontId="51" fillId="27" borderId="0" xfId="52" applyNumberFormat="1" applyFont="1" applyFill="1" applyBorder="1" applyAlignment="1">
      <alignment horizontal="center" vertical="center" wrapText="1"/>
    </xf>
    <xf numFmtId="164" fontId="3" fillId="27" borderId="0" xfId="114" applyFont="1" applyFill="1" applyBorder="1" applyAlignment="1">
      <alignment horizontal="right" wrapText="1"/>
    </xf>
    <xf numFmtId="164" fontId="3" fillId="16" borderId="0" xfId="114" applyNumberFormat="1" applyFont="1" applyFill="1" applyBorder="1" applyAlignment="1">
      <alignment horizontal="right" wrapText="1"/>
    </xf>
    <xf numFmtId="0" fontId="3" fillId="36" borderId="0" xfId="112" applyNumberFormat="1" applyFont="1" applyFill="1" applyBorder="1" applyAlignment="1">
      <alignment horizontal="center" vertical="center" wrapText="1"/>
      <protection/>
    </xf>
    <xf numFmtId="164" fontId="3" fillId="16" borderId="0" xfId="114" applyFont="1" applyFill="1" applyBorder="1" applyAlignment="1">
      <alignment horizontal="right" wrapText="1"/>
    </xf>
    <xf numFmtId="0" fontId="4" fillId="36" borderId="0" xfId="112" applyFont="1" applyFill="1" applyBorder="1" applyAlignment="1">
      <alignment horizontal="center" wrapText="1"/>
      <protection/>
    </xf>
    <xf numFmtId="0" fontId="3" fillId="36" borderId="0" xfId="112" applyFont="1" applyFill="1" applyBorder="1" applyAlignment="1">
      <alignment wrapText="1"/>
      <protection/>
    </xf>
    <xf numFmtId="0" fontId="4" fillId="34" borderId="16" xfId="112" applyFont="1" applyFill="1" applyBorder="1" applyAlignment="1">
      <alignment/>
      <protection/>
    </xf>
    <xf numFmtId="49" fontId="4" fillId="35" borderId="16" xfId="112" applyNumberFormat="1" applyFont="1" applyFill="1" applyBorder="1" applyAlignment="1">
      <alignment horizontal="center" wrapText="1"/>
      <protection/>
    </xf>
    <xf numFmtId="0" fontId="58" fillId="0" borderId="0" xfId="0" applyFont="1"/>
    <xf numFmtId="0" fontId="0" fillId="0" borderId="14" xfId="0" applyFill="1" applyBorder="1" applyAlignment="1">
      <alignment/>
    </xf>
    <xf numFmtId="0" fontId="0" fillId="26" borderId="11" xfId="0" applyFill="1" applyBorder="1"/>
    <xf numFmtId="0" fontId="0" fillId="26" borderId="15" xfId="0" applyFill="1" applyBorder="1"/>
    <xf numFmtId="0" fontId="0" fillId="26" borderId="0" xfId="0" applyFill="1"/>
    <xf numFmtId="0" fontId="0" fillId="0" borderId="16" xfId="0" applyFill="1" applyBorder="1" applyAlignment="1">
      <alignment/>
    </xf>
    <xf numFmtId="0" fontId="0" fillId="26" borderId="0" xfId="0" applyFill="1" applyBorder="1"/>
    <xf numFmtId="0" fontId="0" fillId="26" borderId="17" xfId="0" applyFill="1" applyBorder="1"/>
    <xf numFmtId="164" fontId="3" fillId="0" borderId="16" xfId="121" applyFont="1" applyFill="1" applyBorder="1" applyAlignment="1">
      <alignment/>
    </xf>
    <xf numFmtId="164" fontId="3" fillId="26" borderId="0" xfId="121" applyFont="1" applyFill="1" applyBorder="1" applyAlignment="1">
      <alignment horizontal="right"/>
    </xf>
    <xf numFmtId="164" fontId="3" fillId="26" borderId="17" xfId="121" applyFont="1" applyFill="1" applyBorder="1" applyAlignment="1">
      <alignment horizontal="right"/>
    </xf>
    <xf numFmtId="164" fontId="4" fillId="26" borderId="0" xfId="121" applyFont="1" applyFill="1" applyBorder="1"/>
    <xf numFmtId="164" fontId="22" fillId="0" borderId="16" xfId="121" applyFont="1" applyFill="1" applyBorder="1" applyAlignment="1">
      <alignment/>
    </xf>
    <xf numFmtId="164" fontId="22" fillId="26" borderId="0" xfId="121" applyFont="1" applyFill="1" applyBorder="1"/>
    <xf numFmtId="164" fontId="4" fillId="26" borderId="0" xfId="121" applyFont="1" applyFill="1" applyBorder="1" applyAlignment="1">
      <alignment horizontal="right"/>
    </xf>
    <xf numFmtId="164" fontId="4" fillId="0" borderId="0" xfId="121" applyFont="1" applyAlignment="1">
      <alignment horizontal="right"/>
    </xf>
    <xf numFmtId="164" fontId="4" fillId="26" borderId="17" xfId="121" applyFont="1" applyFill="1" applyBorder="1" applyAlignment="1">
      <alignment horizontal="right"/>
    </xf>
    <xf numFmtId="0" fontId="3" fillId="0" borderId="55" xfId="0" applyFont="1" applyFill="1" applyBorder="1" applyAlignment="1">
      <alignment/>
    </xf>
    <xf numFmtId="0" fontId="3" fillId="36" borderId="56" xfId="0" applyFont="1" applyFill="1" applyBorder="1" applyAlignment="1">
      <alignment horizontal="center"/>
    </xf>
    <xf numFmtId="0" fontId="3" fillId="36" borderId="57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8" xfId="0" applyFont="1" applyFill="1" applyBorder="1" applyAlignment="1">
      <alignment horizontal="center"/>
    </xf>
    <xf numFmtId="0" fontId="0" fillId="26" borderId="0" xfId="0" applyFont="1" applyFill="1"/>
    <xf numFmtId="0" fontId="3" fillId="0" borderId="21" xfId="0" applyFont="1" applyFill="1" applyBorder="1" applyAlignment="1">
      <alignment/>
    </xf>
    <xf numFmtId="0" fontId="3" fillId="26" borderId="59" xfId="0" applyFont="1" applyFill="1" applyBorder="1" applyAlignment="1">
      <alignment horizontal="center"/>
    </xf>
    <xf numFmtId="0" fontId="3" fillId="26" borderId="31" xfId="0" applyFont="1" applyFill="1" applyBorder="1" applyAlignment="1">
      <alignment horizontal="center"/>
    </xf>
    <xf numFmtId="0" fontId="3" fillId="26" borderId="60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164" fontId="3" fillId="37" borderId="19" xfId="121" applyFont="1" applyFill="1" applyBorder="1" applyAlignment="1">
      <alignment/>
    </xf>
    <xf numFmtId="0" fontId="0" fillId="37" borderId="0" xfId="0" applyFill="1"/>
    <xf numFmtId="164" fontId="4" fillId="32" borderId="19" xfId="121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164" fontId="4" fillId="0" borderId="13" xfId="121" applyFont="1" applyFill="1" applyBorder="1" applyAlignment="1">
      <alignment horizontal="left" wrapText="1"/>
    </xf>
    <xf numFmtId="164" fontId="4" fillId="0" borderId="13" xfId="12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0" fillId="28" borderId="0" xfId="0" applyFill="1"/>
    <xf numFmtId="0" fontId="4" fillId="0" borderId="13" xfId="0" applyFont="1" applyFill="1" applyBorder="1" applyAlignment="1">
      <alignment horizontal="left"/>
    </xf>
    <xf numFmtId="0" fontId="0" fillId="0" borderId="0" xfId="0" applyFill="1"/>
    <xf numFmtId="164" fontId="4" fillId="0" borderId="19" xfId="121" applyFont="1" applyFill="1" applyBorder="1" applyAlignment="1">
      <alignment/>
    </xf>
    <xf numFmtId="164" fontId="60" fillId="0" borderId="13" xfId="121" applyFont="1" applyFill="1" applyBorder="1" applyAlignment="1">
      <alignment horizontal="right"/>
    </xf>
    <xf numFmtId="164" fontId="3" fillId="37" borderId="19" xfId="66" applyFont="1" applyFill="1" applyBorder="1" applyAlignment="1">
      <alignment/>
    </xf>
    <xf numFmtId="164" fontId="4" fillId="32" borderId="19" xfId="66" applyFont="1" applyFill="1" applyBorder="1" applyAlignment="1">
      <alignment/>
    </xf>
    <xf numFmtId="2" fontId="4" fillId="0" borderId="13" xfId="0" applyNumberFormat="1" applyFont="1" applyFill="1" applyBorder="1" applyAlignment="1">
      <alignment horizontal="left" wrapText="1"/>
    </xf>
    <xf numFmtId="164" fontId="4" fillId="0" borderId="13" xfId="66" applyFont="1" applyFill="1" applyBorder="1" applyAlignment="1">
      <alignment horizontal="right"/>
    </xf>
    <xf numFmtId="0" fontId="61" fillId="0" borderId="0" xfId="0" applyFont="1" applyFill="1"/>
    <xf numFmtId="164" fontId="4" fillId="0" borderId="19" xfId="66" applyFont="1" applyFill="1" applyBorder="1" applyAlignment="1">
      <alignment/>
    </xf>
    <xf numFmtId="164" fontId="60" fillId="0" borderId="13" xfId="66" applyFont="1" applyFill="1" applyBorder="1" applyAlignment="1">
      <alignment horizontal="right"/>
    </xf>
    <xf numFmtId="164" fontId="60" fillId="37" borderId="13" xfId="66" applyFont="1" applyFill="1" applyBorder="1" applyAlignment="1">
      <alignment horizontal="right"/>
    </xf>
    <xf numFmtId="0" fontId="4" fillId="37" borderId="20" xfId="0" applyFont="1" applyFill="1" applyBorder="1" applyAlignment="1">
      <alignment horizontal="center"/>
    </xf>
    <xf numFmtId="0" fontId="0" fillId="0" borderId="0" xfId="0" applyFont="1" applyFill="1"/>
    <xf numFmtId="0" fontId="62" fillId="0" borderId="0" xfId="0" applyFont="1" applyFill="1"/>
    <xf numFmtId="0" fontId="4" fillId="0" borderId="13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left" wrapText="1"/>
    </xf>
    <xf numFmtId="0" fontId="4" fillId="27" borderId="13" xfId="0" applyFont="1" applyFill="1" applyBorder="1" applyAlignment="1">
      <alignment horizontal="left" wrapText="1"/>
    </xf>
    <xf numFmtId="164" fontId="60" fillId="27" borderId="13" xfId="66" applyFont="1" applyFill="1" applyBorder="1" applyAlignment="1">
      <alignment horizontal="right"/>
    </xf>
    <xf numFmtId="0" fontId="4" fillId="27" borderId="20" xfId="0" applyFont="1" applyFill="1" applyBorder="1" applyAlignment="1">
      <alignment horizontal="center"/>
    </xf>
    <xf numFmtId="0" fontId="0" fillId="38" borderId="0" xfId="0" applyFill="1"/>
    <xf numFmtId="0" fontId="0" fillId="38" borderId="0" xfId="0" applyFont="1" applyFill="1"/>
    <xf numFmtId="164" fontId="4" fillId="27" borderId="13" xfId="121" applyFont="1" applyFill="1" applyBorder="1" applyAlignment="1">
      <alignment horizontal="right"/>
    </xf>
    <xf numFmtId="0" fontId="0" fillId="27" borderId="0" xfId="0" applyFill="1"/>
    <xf numFmtId="0" fontId="4" fillId="27" borderId="24" xfId="0" applyFont="1" applyFill="1" applyBorder="1" applyAlignment="1">
      <alignment horizontal="left" wrapText="1"/>
    </xf>
    <xf numFmtId="0" fontId="4" fillId="27" borderId="27" xfId="0" applyFont="1" applyFill="1" applyBorder="1" applyAlignment="1">
      <alignment horizontal="left" wrapText="1"/>
    </xf>
    <xf numFmtId="164" fontId="60" fillId="27" borderId="13" xfId="121" applyFont="1" applyFill="1" applyBorder="1" applyAlignment="1">
      <alignment horizontal="right"/>
    </xf>
    <xf numFmtId="0" fontId="4" fillId="27" borderId="31" xfId="0" applyFont="1" applyFill="1" applyBorder="1" applyAlignment="1">
      <alignment horizontal="left" wrapText="1"/>
    </xf>
    <xf numFmtId="0" fontId="4" fillId="27" borderId="61" xfId="0" applyFont="1" applyFill="1" applyBorder="1" applyAlignment="1">
      <alignment horizontal="center"/>
    </xf>
    <xf numFmtId="0" fontId="4" fillId="27" borderId="62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164" fontId="60" fillId="0" borderId="26" xfId="66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right" wrapText="1"/>
    </xf>
    <xf numFmtId="0" fontId="4" fillId="0" borderId="27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164" fontId="4" fillId="32" borderId="19" xfId="66" applyFont="1" applyFill="1" applyBorder="1" applyAlignment="1">
      <alignment horizontal="left"/>
    </xf>
    <xf numFmtId="0" fontId="4" fillId="0" borderId="24" xfId="0" applyFont="1" applyFill="1" applyBorder="1" applyAlignment="1">
      <alignment horizontal="left" wrapText="1"/>
    </xf>
    <xf numFmtId="164" fontId="4" fillId="0" borderId="24" xfId="66" applyFont="1" applyFill="1" applyBorder="1" applyAlignment="1">
      <alignment horizontal="right"/>
    </xf>
    <xf numFmtId="0" fontId="4" fillId="0" borderId="63" xfId="0" applyFont="1" applyFill="1" applyBorder="1" applyAlignment="1">
      <alignment horizontal="center"/>
    </xf>
    <xf numFmtId="0" fontId="4" fillId="0" borderId="24" xfId="0" applyFont="1" applyFill="1" applyBorder="1"/>
    <xf numFmtId="164" fontId="4" fillId="0" borderId="24" xfId="0" applyNumberFormat="1" applyFont="1" applyFill="1" applyBorder="1" applyAlignment="1">
      <alignment horizontal="left" wrapText="1"/>
    </xf>
    <xf numFmtId="164" fontId="4" fillId="0" borderId="24" xfId="12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6" borderId="13" xfId="0" applyFill="1" applyBorder="1"/>
    <xf numFmtId="0" fontId="4" fillId="28" borderId="13" xfId="0" applyFont="1" applyFill="1" applyBorder="1" applyAlignment="1">
      <alignment horizontal="justify"/>
    </xf>
    <xf numFmtId="0" fontId="4" fillId="28" borderId="13" xfId="0" applyFont="1" applyFill="1" applyBorder="1" applyAlignment="1">
      <alignment horizontal="left" wrapText="1"/>
    </xf>
    <xf numFmtId="164" fontId="37" fillId="28" borderId="13" xfId="66" applyFont="1" applyFill="1" applyBorder="1" applyAlignment="1">
      <alignment horizontal="right"/>
    </xf>
    <xf numFmtId="0" fontId="4" fillId="28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4" fillId="26" borderId="14" xfId="121" applyFont="1" applyFill="1" applyBorder="1" applyAlignment="1">
      <alignment/>
    </xf>
    <xf numFmtId="164" fontId="4" fillId="26" borderId="11" xfId="121" applyFont="1" applyFill="1" applyBorder="1" applyAlignment="1">
      <alignment horizontal="right"/>
    </xf>
    <xf numFmtId="164" fontId="4" fillId="26" borderId="15" xfId="121" applyFont="1" applyFill="1" applyBorder="1" applyAlignment="1">
      <alignment horizontal="right"/>
    </xf>
    <xf numFmtId="164" fontId="3" fillId="26" borderId="16" xfId="121" applyFont="1" applyFill="1" applyBorder="1" applyAlignment="1">
      <alignment/>
    </xf>
    <xf numFmtId="164" fontId="3" fillId="26" borderId="0" xfId="121" applyFont="1" applyFill="1" applyBorder="1" applyAlignment="1">
      <alignment horizontal="center"/>
    </xf>
    <xf numFmtId="164" fontId="3" fillId="26" borderId="17" xfId="121" applyFont="1" applyFill="1" applyBorder="1" applyAlignment="1">
      <alignment horizontal="center"/>
    </xf>
    <xf numFmtId="164" fontId="22" fillId="26" borderId="16" xfId="121" applyFont="1" applyFill="1" applyBorder="1" applyAlignment="1">
      <alignment/>
    </xf>
    <xf numFmtId="164" fontId="4" fillId="26" borderId="16" xfId="121" applyFont="1" applyFill="1" applyBorder="1" applyAlignment="1">
      <alignment/>
    </xf>
    <xf numFmtId="0" fontId="4" fillId="26" borderId="12" xfId="0" applyFont="1" applyFill="1" applyBorder="1" applyAlignment="1">
      <alignment horizontal="left"/>
    </xf>
    <xf numFmtId="164" fontId="4" fillId="26" borderId="12" xfId="121" applyFont="1" applyFill="1" applyBorder="1" applyAlignment="1">
      <alignment horizontal="right"/>
    </xf>
    <xf numFmtId="164" fontId="4" fillId="26" borderId="18" xfId="121" applyFont="1" applyFill="1" applyBorder="1" applyAlignment="1">
      <alignment horizontal="right"/>
    </xf>
    <xf numFmtId="164" fontId="3" fillId="14" borderId="13" xfId="121" applyFont="1" applyFill="1" applyBorder="1" applyAlignment="1">
      <alignment/>
    </xf>
    <xf numFmtId="164" fontId="3" fillId="14" borderId="31" xfId="121" applyFont="1" applyFill="1" applyBorder="1" applyAlignment="1">
      <alignment horizontal="right"/>
    </xf>
    <xf numFmtId="164" fontId="3" fillId="14" borderId="31" xfId="121" applyFont="1" applyFill="1" applyBorder="1" applyAlignment="1">
      <alignment horizontal="right" wrapText="1"/>
    </xf>
    <xf numFmtId="164" fontId="3" fillId="14" borderId="64" xfId="121" applyFont="1" applyFill="1" applyBorder="1" applyAlignment="1">
      <alignment horizontal="right" wrapText="1"/>
    </xf>
    <xf numFmtId="164" fontId="3" fillId="14" borderId="0" xfId="121" applyFont="1" applyFill="1" applyBorder="1" applyAlignment="1">
      <alignment horizontal="right" wrapText="1"/>
    </xf>
    <xf numFmtId="164" fontId="3" fillId="20" borderId="13" xfId="121" applyFont="1" applyFill="1" applyBorder="1" applyAlignment="1">
      <alignment/>
    </xf>
    <xf numFmtId="164" fontId="4" fillId="20" borderId="13" xfId="121" applyFont="1" applyFill="1" applyBorder="1" applyAlignment="1">
      <alignment horizontal="right"/>
    </xf>
    <xf numFmtId="164" fontId="3" fillId="20" borderId="13" xfId="121" applyFont="1" applyFill="1" applyBorder="1" applyAlignment="1">
      <alignment horizontal="right"/>
    </xf>
    <xf numFmtId="164" fontId="3" fillId="20" borderId="20" xfId="121" applyFont="1" applyFill="1" applyBorder="1" applyAlignment="1">
      <alignment horizontal="right"/>
    </xf>
    <xf numFmtId="164" fontId="3" fillId="20" borderId="0" xfId="121" applyFont="1" applyFill="1" applyBorder="1" applyAlignment="1">
      <alignment horizontal="right"/>
    </xf>
    <xf numFmtId="169" fontId="3" fillId="20" borderId="0" xfId="121" applyNumberFormat="1" applyFont="1" applyFill="1" applyBorder="1" applyAlignment="1">
      <alignment horizontal="right"/>
    </xf>
    <xf numFmtId="0" fontId="3" fillId="0" borderId="0" xfId="0" applyFont="1"/>
    <xf numFmtId="164" fontId="4" fillId="39" borderId="19" xfId="121" applyFont="1" applyFill="1" applyBorder="1" applyAlignment="1">
      <alignment/>
    </xf>
    <xf numFmtId="0" fontId="26" fillId="0" borderId="20" xfId="121" applyNumberFormat="1" applyFont="1" applyFill="1" applyBorder="1" applyAlignment="1">
      <alignment horizontal="center" wrapText="1"/>
    </xf>
    <xf numFmtId="164" fontId="37" fillId="0" borderId="0" xfId="121" applyFont="1" applyFill="1" applyBorder="1" applyAlignment="1">
      <alignment wrapText="1"/>
    </xf>
    <xf numFmtId="164" fontId="4" fillId="0" borderId="0" xfId="12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164" fontId="4" fillId="27" borderId="13" xfId="121" applyFont="1" applyFill="1" applyBorder="1" applyAlignment="1">
      <alignment/>
    </xf>
    <xf numFmtId="0" fontId="4" fillId="26" borderId="13" xfId="0" applyFont="1" applyFill="1" applyBorder="1" applyAlignment="1">
      <alignment horizontal="left"/>
    </xf>
    <xf numFmtId="0" fontId="4" fillId="26" borderId="13" xfId="0" applyFont="1" applyFill="1" applyBorder="1" applyAlignment="1">
      <alignment horizontal="center"/>
    </xf>
    <xf numFmtId="164" fontId="4" fillId="26" borderId="13" xfId="121" applyFont="1" applyFill="1" applyBorder="1" applyAlignment="1">
      <alignment horizontal="right"/>
    </xf>
    <xf numFmtId="0" fontId="26" fillId="26" borderId="20" xfId="121" applyNumberFormat="1" applyFont="1" applyFill="1" applyBorder="1" applyAlignment="1">
      <alignment horizontal="center" wrapText="1"/>
    </xf>
    <xf numFmtId="164" fontId="37" fillId="0" borderId="0" xfId="121" applyFont="1" applyBorder="1" applyAlignment="1">
      <alignment wrapText="1"/>
    </xf>
    <xf numFmtId="164" fontId="3" fillId="20" borderId="13" xfId="66" applyFont="1" applyFill="1" applyBorder="1" applyAlignment="1">
      <alignment/>
    </xf>
    <xf numFmtId="164" fontId="4" fillId="39" borderId="19" xfId="66" applyFont="1" applyFill="1" applyBorder="1" applyAlignment="1">
      <alignment/>
    </xf>
    <xf numFmtId="164" fontId="37" fillId="40" borderId="0" xfId="121" applyFont="1" applyFill="1" applyBorder="1" applyAlignment="1">
      <alignment wrapText="1"/>
    </xf>
    <xf numFmtId="0" fontId="4" fillId="40" borderId="0" xfId="0" applyFont="1" applyFill="1"/>
    <xf numFmtId="164" fontId="4" fillId="27" borderId="13" xfId="66" applyFont="1" applyFill="1" applyBorder="1" applyAlignment="1">
      <alignment/>
    </xf>
    <xf numFmtId="0" fontId="4" fillId="26" borderId="13" xfId="0" applyFont="1" applyFill="1" applyBorder="1" applyAlignment="1">
      <alignment horizontal="left" wrapText="1"/>
    </xf>
    <xf numFmtId="164" fontId="4" fillId="26" borderId="13" xfId="66" applyFont="1" applyFill="1" applyBorder="1" applyAlignment="1">
      <alignment horizontal="right"/>
    </xf>
    <xf numFmtId="0" fontId="25" fillId="26" borderId="20" xfId="66" applyNumberFormat="1" applyFont="1" applyFill="1" applyBorder="1" applyAlignment="1">
      <alignment horizontal="center" wrapText="1"/>
    </xf>
    <xf numFmtId="0" fontId="4" fillId="39" borderId="13" xfId="0" applyFont="1" applyFill="1" applyBorder="1" applyAlignment="1">
      <alignment horizontal="left" wrapText="1"/>
    </xf>
    <xf numFmtId="0" fontId="25" fillId="27" borderId="20" xfId="121" applyNumberFormat="1" applyFont="1" applyFill="1" applyBorder="1" applyAlignment="1">
      <alignment horizontal="center" wrapText="1"/>
    </xf>
    <xf numFmtId="164" fontId="3" fillId="20" borderId="13" xfId="66" applyNumberFormat="1" applyFont="1" applyFill="1" applyBorder="1" applyAlignment="1">
      <alignment horizontal="right"/>
    </xf>
    <xf numFmtId="164" fontId="4" fillId="39" borderId="13" xfId="66" applyFont="1" applyFill="1" applyBorder="1" applyAlignment="1">
      <alignment/>
    </xf>
    <xf numFmtId="0" fontId="25" fillId="27" borderId="63" xfId="66" applyNumberFormat="1" applyFont="1" applyFill="1" applyBorder="1" applyAlignment="1">
      <alignment horizontal="center" wrapText="1"/>
    </xf>
    <xf numFmtId="0" fontId="3" fillId="20" borderId="64" xfId="121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0" fontId="25" fillId="0" borderId="20" xfId="66" applyNumberFormat="1" applyFont="1" applyFill="1" applyBorder="1" applyAlignment="1">
      <alignment horizontal="center" wrapText="1"/>
    </xf>
    <xf numFmtId="164" fontId="60" fillId="27" borderId="27" xfId="66" applyFont="1" applyFill="1" applyBorder="1" applyAlignment="1">
      <alignment horizontal="right"/>
    </xf>
    <xf numFmtId="164" fontId="4" fillId="39" borderId="27" xfId="66" applyFont="1" applyFill="1" applyBorder="1" applyAlignment="1">
      <alignment/>
    </xf>
    <xf numFmtId="0" fontId="4" fillId="27" borderId="13" xfId="0" applyFont="1" applyFill="1" applyBorder="1" applyAlignment="1">
      <alignment horizontal="justify"/>
    </xf>
    <xf numFmtId="164" fontId="4" fillId="39" borderId="19" xfId="125" applyFont="1" applyFill="1" applyBorder="1" applyAlignment="1">
      <alignment/>
    </xf>
    <xf numFmtId="164" fontId="4" fillId="0" borderId="27" xfId="125" applyFont="1" applyFill="1" applyBorder="1" applyAlignment="1">
      <alignment horizontal="right"/>
    </xf>
    <xf numFmtId="0" fontId="25" fillId="0" borderId="20" xfId="121" applyNumberFormat="1" applyFont="1" applyFill="1" applyBorder="1" applyAlignment="1">
      <alignment horizontal="center" wrapText="1"/>
    </xf>
    <xf numFmtId="164" fontId="4" fillId="27" borderId="13" xfId="121" applyFont="1" applyFill="1" applyBorder="1" applyAlignment="1">
      <alignment horizontal="center"/>
    </xf>
    <xf numFmtId="164" fontId="24" fillId="27" borderId="13" xfId="121" applyFont="1" applyFill="1" applyBorder="1" applyAlignment="1">
      <alignment horizontal="right"/>
    </xf>
    <xf numFmtId="164" fontId="3" fillId="20" borderId="13" xfId="66" applyFont="1" applyFill="1" applyBorder="1" applyAlignment="1">
      <alignment horizontal="center"/>
    </xf>
    <xf numFmtId="0" fontId="63" fillId="20" borderId="20" xfId="66" applyNumberFormat="1" applyFont="1" applyFill="1" applyBorder="1" applyAlignment="1">
      <alignment horizontal="center"/>
    </xf>
    <xf numFmtId="0" fontId="4" fillId="41" borderId="0" xfId="0" applyFont="1" applyFill="1"/>
    <xf numFmtId="0" fontId="4" fillId="26" borderId="13" xfId="0" applyFont="1" applyFill="1" applyBorder="1"/>
    <xf numFmtId="164" fontId="4" fillId="26" borderId="31" xfId="121" applyFont="1" applyFill="1" applyBorder="1" applyAlignment="1">
      <alignment horizontal="right"/>
    </xf>
    <xf numFmtId="164" fontId="4" fillId="26" borderId="24" xfId="121" applyFont="1" applyFill="1" applyBorder="1" applyAlignment="1">
      <alignment horizontal="right"/>
    </xf>
    <xf numFmtId="164" fontId="4" fillId="26" borderId="63" xfId="121" applyFont="1" applyFill="1" applyBorder="1" applyAlignment="1">
      <alignment horizontal="right"/>
    </xf>
    <xf numFmtId="164" fontId="4" fillId="0" borderId="0" xfId="121" applyFont="1" applyFill="1" applyAlignment="1">
      <alignment horizontal="right"/>
    </xf>
    <xf numFmtId="164" fontId="4" fillId="36" borderId="13" xfId="121" applyFont="1" applyFill="1" applyBorder="1" applyAlignment="1">
      <alignment/>
    </xf>
    <xf numFmtId="164" fontId="3" fillId="36" borderId="25" xfId="121" applyNumberFormat="1" applyFont="1" applyFill="1" applyBorder="1" applyAlignment="1">
      <alignment horizontal="right"/>
    </xf>
    <xf numFmtId="164" fontId="3" fillId="36" borderId="61" xfId="121" applyFont="1" applyFill="1" applyBorder="1" applyAlignment="1">
      <alignment horizontal="right"/>
    </xf>
    <xf numFmtId="164" fontId="4" fillId="0" borderId="0" xfId="121" applyFont="1" applyAlignment="1">
      <alignment/>
    </xf>
    <xf numFmtId="164" fontId="37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164" fontId="3" fillId="0" borderId="0" xfId="121" applyFont="1" applyAlignment="1">
      <alignment horizontal="right"/>
    </xf>
    <xf numFmtId="164" fontId="4" fillId="0" borderId="0" xfId="0" applyNumberFormat="1" applyFont="1" applyAlignment="1">
      <alignment horizontal="left"/>
    </xf>
    <xf numFmtId="164" fontId="4" fillId="0" borderId="13" xfId="93" applyNumberFormat="1" applyFont="1" applyBorder="1" applyAlignment="1">
      <alignment horizontal="left"/>
      <protection/>
    </xf>
    <xf numFmtId="0" fontId="4" fillId="0" borderId="13" xfId="93" applyFont="1" applyBorder="1" applyAlignment="1">
      <alignment horizontal="center"/>
      <protection/>
    </xf>
    <xf numFmtId="0" fontId="3" fillId="27" borderId="13" xfId="0" applyFont="1" applyFill="1" applyBorder="1" applyAlignment="1">
      <alignment horizontal="left"/>
    </xf>
    <xf numFmtId="0" fontId="4" fillId="27" borderId="13" xfId="93" applyFont="1" applyFill="1" applyBorder="1" applyAlignment="1">
      <alignment horizontal="center"/>
      <protection/>
    </xf>
    <xf numFmtId="164" fontId="3" fillId="0" borderId="13" xfId="93" applyNumberFormat="1" applyFont="1" applyBorder="1" applyAlignment="1">
      <alignment horizontal="left" wrapText="1"/>
      <protection/>
    </xf>
    <xf numFmtId="164" fontId="4" fillId="42" borderId="13" xfId="68" applyFont="1" applyFill="1" applyBorder="1" applyAlignment="1">
      <alignment horizontal="right"/>
    </xf>
    <xf numFmtId="164" fontId="3" fillId="0" borderId="13" xfId="93" applyNumberFormat="1" applyFont="1" applyBorder="1" applyAlignment="1">
      <alignment horizontal="left"/>
      <protection/>
    </xf>
    <xf numFmtId="164" fontId="35" fillId="27" borderId="13" xfId="97" applyFont="1" applyFill="1" applyBorder="1"/>
    <xf numFmtId="9" fontId="35" fillId="27" borderId="13" xfId="97" applyNumberFormat="1" applyFont="1" applyFill="1" applyBorder="1"/>
    <xf numFmtId="164" fontId="4" fillId="0" borderId="19" xfId="96" applyFont="1" applyBorder="1" applyAlignment="1">
      <alignment horizontal="center"/>
    </xf>
    <xf numFmtId="164" fontId="4" fillId="0" borderId="37" xfId="96" applyFont="1" applyBorder="1" applyAlignment="1">
      <alignment horizontal="center"/>
    </xf>
    <xf numFmtId="0" fontId="4" fillId="0" borderId="12" xfId="93" applyFont="1" applyBorder="1" applyAlignment="1">
      <alignment horizontal="left"/>
      <protection/>
    </xf>
    <xf numFmtId="0" fontId="4" fillId="0" borderId="12" xfId="93" applyFont="1" applyBorder="1" applyAlignment="1">
      <alignment horizontal="center"/>
      <protection/>
    </xf>
    <xf numFmtId="164" fontId="4" fillId="0" borderId="12" xfId="96" applyFont="1" applyBorder="1" applyAlignment="1">
      <alignment horizontal="right"/>
    </xf>
    <xf numFmtId="164" fontId="4" fillId="0" borderId="18" xfId="96" applyFont="1" applyBorder="1" applyAlignment="1">
      <alignment horizontal="right"/>
    </xf>
    <xf numFmtId="0" fontId="32" fillId="0" borderId="30" xfId="93" applyNumberFormat="1" applyFont="1" applyBorder="1" applyAlignment="1">
      <alignment horizontal="center" vertical="center" wrapText="1"/>
      <protection/>
    </xf>
    <xf numFmtId="0" fontId="32" fillId="0" borderId="51" xfId="93" applyNumberFormat="1" applyFont="1" applyBorder="1" applyAlignment="1">
      <alignment horizontal="center" vertical="center" wrapText="1"/>
      <protection/>
    </xf>
    <xf numFmtId="0" fontId="32" fillId="0" borderId="19" xfId="93" applyFont="1" applyBorder="1" applyAlignment="1">
      <alignment horizontal="left" vertical="top"/>
      <protection/>
    </xf>
    <xf numFmtId="0" fontId="32" fillId="0" borderId="13" xfId="93" applyFont="1" applyBorder="1" applyAlignment="1">
      <alignment horizontal="left" vertical="top"/>
      <protection/>
    </xf>
    <xf numFmtId="0" fontId="32" fillId="0" borderId="19" xfId="93" applyFont="1" applyBorder="1" applyAlignment="1">
      <alignment horizontal="left" vertical="justify"/>
      <protection/>
    </xf>
    <xf numFmtId="0" fontId="32" fillId="0" borderId="13" xfId="93" applyFont="1" applyBorder="1" applyAlignment="1">
      <alignment horizontal="left" vertical="justify"/>
      <protection/>
    </xf>
    <xf numFmtId="0" fontId="32" fillId="0" borderId="19" xfId="93" applyFont="1" applyBorder="1" applyAlignment="1">
      <alignment horizontal="left" wrapText="1"/>
      <protection/>
    </xf>
    <xf numFmtId="0" fontId="32" fillId="0" borderId="13" xfId="93" applyFont="1" applyBorder="1" applyAlignment="1">
      <alignment horizontal="left" wrapText="1"/>
      <protection/>
    </xf>
    <xf numFmtId="0" fontId="32" fillId="27" borderId="19" xfId="93" applyFont="1" applyFill="1" applyBorder="1" applyAlignment="1">
      <alignment horizontal="left" wrapText="1"/>
      <protection/>
    </xf>
    <xf numFmtId="0" fontId="32" fillId="27" borderId="13" xfId="93" applyFont="1" applyFill="1" applyBorder="1" applyAlignment="1">
      <alignment horizontal="left" wrapText="1"/>
      <protection/>
    </xf>
    <xf numFmtId="0" fontId="32" fillId="0" borderId="28" xfId="93" applyFont="1" applyBorder="1" applyAlignment="1">
      <alignment horizontal="left" wrapText="1"/>
      <protection/>
    </xf>
    <xf numFmtId="0" fontId="32" fillId="0" borderId="50" xfId="93" applyFont="1" applyBorder="1" applyAlignment="1">
      <alignment horizontal="left" wrapText="1"/>
      <protection/>
    </xf>
    <xf numFmtId="0" fontId="32" fillId="0" borderId="29" xfId="93" applyFont="1" applyBorder="1" applyAlignment="1">
      <alignment horizontal="left" wrapText="1"/>
      <protection/>
    </xf>
    <xf numFmtId="0" fontId="32" fillId="0" borderId="37" xfId="93" applyFont="1" applyBorder="1" applyAlignment="1">
      <alignment horizontal="center" vertical="center"/>
      <protection/>
    </xf>
    <xf numFmtId="0" fontId="32" fillId="0" borderId="12" xfId="93" applyFont="1" applyBorder="1" applyAlignment="1">
      <alignment horizontal="center" vertical="center"/>
      <protection/>
    </xf>
    <xf numFmtId="0" fontId="32" fillId="0" borderId="51" xfId="93" applyFont="1" applyBorder="1" applyAlignment="1">
      <alignment horizontal="center" vertical="center" wrapText="1"/>
      <protection/>
    </xf>
    <xf numFmtId="0" fontId="32" fillId="0" borderId="20" xfId="93" applyNumberFormat="1" applyFont="1" applyBorder="1" applyAlignment="1">
      <alignment horizontal="center" vertical="center" wrapText="1"/>
      <protection/>
    </xf>
    <xf numFmtId="0" fontId="32" fillId="27" borderId="19" xfId="93" applyFont="1" applyFill="1" applyBorder="1" applyAlignment="1">
      <alignment horizontal="left" vertical="justify"/>
      <protection/>
    </xf>
    <xf numFmtId="0" fontId="32" fillId="27" borderId="13" xfId="93" applyFont="1" applyFill="1" applyBorder="1" applyAlignment="1">
      <alignment horizontal="left" vertical="justify"/>
      <protection/>
    </xf>
    <xf numFmtId="0" fontId="32" fillId="0" borderId="19" xfId="93" applyFont="1" applyBorder="1" applyAlignment="1">
      <alignment horizontal="center" vertical="center"/>
      <protection/>
    </xf>
    <xf numFmtId="0" fontId="32" fillId="0" borderId="13" xfId="93" applyFont="1" applyBorder="1" applyAlignment="1">
      <alignment horizontal="center" vertical="center"/>
      <protection/>
    </xf>
    <xf numFmtId="0" fontId="32" fillId="0" borderId="13" xfId="93" applyFont="1" applyBorder="1" applyAlignment="1">
      <alignment horizontal="center" vertical="center" wrapText="1"/>
      <protection/>
    </xf>
    <xf numFmtId="0" fontId="32" fillId="0" borderId="31" xfId="93" applyFont="1" applyBorder="1" applyAlignment="1">
      <alignment horizontal="left" wrapText="1"/>
      <protection/>
    </xf>
    <xf numFmtId="0" fontId="32" fillId="0" borderId="13" xfId="93" applyNumberFormat="1" applyFont="1" applyBorder="1" applyAlignment="1">
      <alignment horizontal="center" vertical="center" wrapText="1"/>
      <protection/>
    </xf>
    <xf numFmtId="0" fontId="31" fillId="27" borderId="0" xfId="93" applyFont="1" applyFill="1" applyBorder="1" applyAlignment="1">
      <alignment horizontal="center"/>
      <protection/>
    </xf>
    <xf numFmtId="0" fontId="0" fillId="0" borderId="0" xfId="93" applyFont="1" applyBorder="1" applyAlignment="1">
      <alignment horizontal="center" vertical="center"/>
      <protection/>
    </xf>
    <xf numFmtId="0" fontId="28" fillId="27" borderId="0" xfId="93" applyFont="1" applyFill="1" applyBorder="1" applyAlignment="1">
      <alignment horizontal="center"/>
      <protection/>
    </xf>
    <xf numFmtId="0" fontId="0" fillId="27" borderId="0" xfId="93" applyFont="1" applyFill="1" applyBorder="1" applyAlignment="1">
      <alignment horizontal="center"/>
      <protection/>
    </xf>
    <xf numFmtId="0" fontId="30" fillId="27" borderId="0" xfId="93" applyFont="1" applyFill="1" applyBorder="1" applyAlignment="1">
      <alignment horizontal="center" vertical="center"/>
      <protection/>
    </xf>
    <xf numFmtId="10" fontId="31" fillId="27" borderId="0" xfId="93" applyNumberFormat="1" applyFont="1" applyFill="1" applyBorder="1" applyAlignment="1">
      <alignment horizontal="center" vertical="center"/>
      <protection/>
    </xf>
    <xf numFmtId="0" fontId="31" fillId="27" borderId="0" xfId="93" applyFont="1" applyFill="1" applyBorder="1" applyAlignment="1">
      <alignment horizontal="center" vertical="center"/>
      <protection/>
    </xf>
    <xf numFmtId="9" fontId="31" fillId="27" borderId="0" xfId="93" applyNumberFormat="1" applyFont="1" applyFill="1" applyBorder="1" applyAlignment="1">
      <alignment horizontal="center" vertical="center"/>
      <protection/>
    </xf>
    <xf numFmtId="0" fontId="31" fillId="27" borderId="0" xfId="93" applyFont="1" applyFill="1" applyBorder="1" applyAlignment="1">
      <alignment horizontal="left" wrapText="1"/>
      <protection/>
    </xf>
    <xf numFmtId="0" fontId="31" fillId="27" borderId="0" xfId="93" applyFont="1" applyFill="1" applyBorder="1" applyAlignment="1">
      <alignment horizontal="left"/>
      <protection/>
    </xf>
    <xf numFmtId="164" fontId="22" fillId="26" borderId="0" xfId="96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33" fillId="27" borderId="0" xfId="93" applyFont="1" applyFill="1" applyAlignment="1">
      <alignment horizontal="center"/>
      <protection/>
    </xf>
    <xf numFmtId="0" fontId="22" fillId="26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4" fillId="26" borderId="0" xfId="0" applyFont="1" applyFill="1" applyBorder="1" applyAlignment="1">
      <alignment horizontal="left"/>
    </xf>
    <xf numFmtId="0" fontId="0" fillId="0" borderId="0" xfId="0" applyBorder="1"/>
    <xf numFmtId="0" fontId="4" fillId="26" borderId="0" xfId="0" applyFont="1" applyFill="1" applyBorder="1" applyAlignment="1">
      <alignment horizontal="center" wrapText="1"/>
    </xf>
    <xf numFmtId="164" fontId="39" fillId="27" borderId="25" xfId="96" applyFont="1" applyFill="1" applyBorder="1" applyAlignment="1">
      <alignment horizontal="center" vertical="center" wrapText="1"/>
    </xf>
    <xf numFmtId="164" fontId="39" fillId="27" borderId="26" xfId="96" applyFont="1" applyFill="1" applyBorder="1" applyAlignment="1">
      <alignment horizontal="center" vertical="center" wrapText="1"/>
    </xf>
    <xf numFmtId="164" fontId="39" fillId="27" borderId="61" xfId="96" applyFont="1" applyFill="1" applyBorder="1" applyAlignment="1">
      <alignment horizontal="center" vertical="center" wrapText="1"/>
    </xf>
    <xf numFmtId="164" fontId="32" fillId="20" borderId="25" xfId="66" applyFont="1" applyFill="1" applyBorder="1" applyAlignment="1">
      <alignment horizontal="center" vertical="center"/>
    </xf>
    <xf numFmtId="164" fontId="32" fillId="20" borderId="26" xfId="66" applyFont="1" applyFill="1" applyBorder="1" applyAlignment="1">
      <alignment horizontal="center" vertical="center"/>
    </xf>
    <xf numFmtId="164" fontId="32" fillId="20" borderId="61" xfId="66" applyFont="1" applyFill="1" applyBorder="1" applyAlignment="1">
      <alignment horizontal="center" vertical="center"/>
    </xf>
    <xf numFmtId="0" fontId="41" fillId="26" borderId="28" xfId="0" applyFont="1" applyFill="1" applyBorder="1" applyAlignment="1">
      <alignment horizontal="center"/>
    </xf>
    <xf numFmtId="0" fontId="41" fillId="26" borderId="50" xfId="0" applyFont="1" applyFill="1" applyBorder="1" applyAlignment="1">
      <alignment horizontal="center"/>
    </xf>
    <xf numFmtId="0" fontId="41" fillId="26" borderId="29" xfId="0" applyFont="1" applyFill="1" applyBorder="1" applyAlignment="1">
      <alignment horizontal="center"/>
    </xf>
    <xf numFmtId="164" fontId="3" fillId="14" borderId="59" xfId="96" applyFont="1" applyFill="1" applyBorder="1" applyAlignment="1">
      <alignment horizontal="center"/>
    </xf>
    <xf numFmtId="164" fontId="3" fillId="14" borderId="65" xfId="96" applyFont="1" applyFill="1" applyBorder="1" applyAlignment="1">
      <alignment horizontal="center"/>
    </xf>
    <xf numFmtId="164" fontId="3" fillId="14" borderId="66" xfId="96" applyFont="1" applyFill="1" applyBorder="1" applyAlignment="1">
      <alignment horizontal="center"/>
    </xf>
    <xf numFmtId="164" fontId="22" fillId="26" borderId="0" xfId="68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164" fontId="4" fillId="0" borderId="25" xfId="96" applyFont="1" applyBorder="1" applyAlignment="1">
      <alignment horizontal="center"/>
    </xf>
    <xf numFmtId="164" fontId="4" fillId="0" borderId="26" xfId="96" applyFont="1" applyBorder="1" applyAlignment="1">
      <alignment horizontal="center"/>
    </xf>
    <xf numFmtId="164" fontId="4" fillId="0" borderId="61" xfId="96" applyFont="1" applyBorder="1" applyAlignment="1">
      <alignment horizontal="center"/>
    </xf>
    <xf numFmtId="164" fontId="4" fillId="0" borderId="25" xfId="96" applyFont="1" applyBorder="1" applyAlignment="1">
      <alignment horizontal="center" wrapText="1"/>
    </xf>
    <xf numFmtId="164" fontId="4" fillId="0" borderId="26" xfId="96" applyFont="1" applyBorder="1" applyAlignment="1">
      <alignment horizontal="center" wrapText="1"/>
    </xf>
    <xf numFmtId="164" fontId="4" fillId="0" borderId="61" xfId="96" applyFont="1" applyBorder="1" applyAlignment="1">
      <alignment horizontal="center" wrapText="1"/>
    </xf>
    <xf numFmtId="164" fontId="3" fillId="30" borderId="28" xfId="68" applyFont="1" applyFill="1" applyBorder="1" applyAlignment="1">
      <alignment horizontal="left"/>
    </xf>
    <xf numFmtId="164" fontId="3" fillId="30" borderId="50" xfId="68" applyFont="1" applyFill="1" applyBorder="1" applyAlignment="1">
      <alignment horizontal="left"/>
    </xf>
    <xf numFmtId="164" fontId="3" fillId="30" borderId="29" xfId="68" applyFont="1" applyFill="1" applyBorder="1" applyAlignment="1">
      <alignment horizontal="left"/>
    </xf>
    <xf numFmtId="0" fontId="3" fillId="0" borderId="67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3" fillId="26" borderId="50" xfId="112" applyFont="1" applyFill="1" applyBorder="1" applyAlignment="1">
      <alignment horizontal="center" wrapText="1"/>
      <protection/>
    </xf>
    <xf numFmtId="0" fontId="3" fillId="26" borderId="29" xfId="112" applyFont="1" applyFill="1" applyBorder="1" applyAlignment="1">
      <alignment horizontal="center" wrapText="1"/>
      <protection/>
    </xf>
    <xf numFmtId="0" fontId="2" fillId="0" borderId="16" xfId="112" applyFont="1" applyBorder="1" applyAlignment="1">
      <alignment horizontal="center" wrapText="1"/>
      <protection/>
    </xf>
    <xf numFmtId="0" fontId="2" fillId="0" borderId="0" xfId="112" applyFont="1" applyBorder="1" applyAlignment="1">
      <alignment horizontal="center" wrapText="1"/>
      <protection/>
    </xf>
    <xf numFmtId="0" fontId="2" fillId="0" borderId="17" xfId="112" applyFont="1" applyBorder="1" applyAlignment="1">
      <alignment horizontal="center" wrapText="1"/>
      <protection/>
    </xf>
    <xf numFmtId="10" fontId="3" fillId="26" borderId="50" xfId="113" applyNumberFormat="1" applyFont="1" applyFill="1" applyBorder="1" applyAlignment="1">
      <alignment horizontal="center" wrapText="1"/>
    </xf>
    <xf numFmtId="10" fontId="3" fillId="26" borderId="29" xfId="113" applyNumberFormat="1" applyFont="1" applyFill="1" applyBorder="1" applyAlignment="1">
      <alignment horizontal="center" wrapText="1"/>
    </xf>
    <xf numFmtId="0" fontId="3" fillId="26" borderId="28" xfId="112" applyFont="1" applyFill="1" applyBorder="1" applyAlignment="1">
      <alignment horizontal="center" wrapText="1"/>
      <protection/>
    </xf>
    <xf numFmtId="0" fontId="3" fillId="26" borderId="14" xfId="112" applyFont="1" applyFill="1" applyBorder="1" applyAlignment="1">
      <alignment horizontal="center" wrapText="1"/>
      <protection/>
    </xf>
    <xf numFmtId="0" fontId="3" fillId="26" borderId="11" xfId="112" applyFont="1" applyFill="1" applyBorder="1" applyAlignment="1">
      <alignment horizontal="center" wrapText="1"/>
      <protection/>
    </xf>
    <xf numFmtId="0" fontId="3" fillId="26" borderId="15" xfId="112" applyFont="1" applyFill="1" applyBorder="1" applyAlignment="1">
      <alignment horizontal="center" wrapText="1"/>
      <protection/>
    </xf>
    <xf numFmtId="0" fontId="3" fillId="26" borderId="37" xfId="112" applyFont="1" applyFill="1" applyBorder="1" applyAlignment="1">
      <alignment horizontal="center" wrapText="1"/>
      <protection/>
    </xf>
    <xf numFmtId="0" fontId="3" fillId="26" borderId="12" xfId="112" applyFont="1" applyFill="1" applyBorder="1" applyAlignment="1">
      <alignment horizontal="center" wrapText="1"/>
      <protection/>
    </xf>
    <xf numFmtId="0" fontId="3" fillId="26" borderId="18" xfId="112" applyFont="1" applyFill="1" applyBorder="1" applyAlignment="1">
      <alignment horizontal="center" wrapText="1"/>
      <protection/>
    </xf>
    <xf numFmtId="0" fontId="54" fillId="26" borderId="11" xfId="112" applyFont="1" applyFill="1" applyBorder="1" applyAlignment="1">
      <alignment horizontal="left" wrapText="1"/>
      <protection/>
    </xf>
    <xf numFmtId="0" fontId="54" fillId="26" borderId="50" xfId="112" applyFont="1" applyFill="1" applyBorder="1" applyAlignment="1">
      <alignment horizontal="justify"/>
      <protection/>
    </xf>
    <xf numFmtId="0" fontId="54" fillId="26" borderId="50" xfId="112" applyFont="1" applyFill="1" applyBorder="1" applyAlignment="1">
      <alignment horizontal="left" wrapText="1"/>
      <protection/>
    </xf>
    <xf numFmtId="0" fontId="56" fillId="33" borderId="0" xfId="0" applyFont="1" applyFill="1" applyBorder="1" applyAlignment="1">
      <alignment horizontal="center" vertical="center" wrapText="1"/>
    </xf>
    <xf numFmtId="0" fontId="54" fillId="0" borderId="11" xfId="112" applyFont="1" applyFill="1" applyBorder="1" applyAlignment="1">
      <alignment horizontal="left" wrapText="1"/>
      <protection/>
    </xf>
    <xf numFmtId="0" fontId="48" fillId="43" borderId="0" xfId="0" applyFont="1" applyFill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42" fillId="0" borderId="0" xfId="0" applyFont="1" applyBorder="1" applyAlignment="1">
      <alignment horizontal="center"/>
    </xf>
    <xf numFmtId="0" fontId="51" fillId="22" borderId="0" xfId="52" applyFont="1" applyBorder="1" applyAlignment="1">
      <alignment horizontal="center" wrapText="1"/>
    </xf>
    <xf numFmtId="0" fontId="4" fillId="32" borderId="14" xfId="112" applyFont="1" applyFill="1" applyBorder="1" applyAlignment="1">
      <alignment horizontal="center" vertical="center"/>
      <protection/>
    </xf>
    <xf numFmtId="0" fontId="4" fillId="32" borderId="37" xfId="112" applyFont="1" applyFill="1" applyBorder="1" applyAlignment="1">
      <alignment horizontal="center" vertical="center"/>
      <protection/>
    </xf>
    <xf numFmtId="0" fontId="54" fillId="0" borderId="12" xfId="112" applyFont="1" applyFill="1" applyBorder="1" applyAlignment="1">
      <alignment horizontal="left" wrapText="1"/>
      <protection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2" fillId="26" borderId="16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" fillId="26" borderId="17" xfId="0" applyFont="1" applyFill="1" applyBorder="1" applyAlignment="1">
      <alignment horizontal="left"/>
    </xf>
    <xf numFmtId="0" fontId="2" fillId="26" borderId="16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164" fontId="22" fillId="26" borderId="16" xfId="121" applyFont="1" applyFill="1" applyBorder="1" applyAlignment="1">
      <alignment/>
    </xf>
    <xf numFmtId="164" fontId="22" fillId="26" borderId="0" xfId="121" applyFont="1" applyFill="1" applyBorder="1" applyAlignment="1">
      <alignment/>
    </xf>
    <xf numFmtId="164" fontId="22" fillId="26" borderId="17" xfId="121" applyFont="1" applyFill="1" applyBorder="1" applyAlignment="1">
      <alignment/>
    </xf>
    <xf numFmtId="0" fontId="59" fillId="20" borderId="16" xfId="0" applyFont="1" applyFill="1" applyBorder="1" applyAlignment="1">
      <alignment horizontal="center" vertical="center"/>
    </xf>
    <xf numFmtId="0" fontId="59" fillId="20" borderId="0" xfId="0" applyFont="1" applyFill="1" applyBorder="1" applyAlignment="1">
      <alignment horizontal="center" vertical="center"/>
    </xf>
    <xf numFmtId="0" fontId="59" fillId="20" borderId="17" xfId="0" applyFont="1" applyFill="1" applyBorder="1" applyAlignment="1">
      <alignment horizontal="center" vertical="center"/>
    </xf>
    <xf numFmtId="0" fontId="59" fillId="20" borderId="37" xfId="0" applyFont="1" applyFill="1" applyBorder="1" applyAlignment="1">
      <alignment horizontal="center" vertical="center"/>
    </xf>
    <xf numFmtId="0" fontId="59" fillId="20" borderId="12" xfId="0" applyFont="1" applyFill="1" applyBorder="1" applyAlignment="1">
      <alignment horizontal="center" vertical="center"/>
    </xf>
    <xf numFmtId="0" fontId="59" fillId="20" borderId="18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/>
    </xf>
    <xf numFmtId="0" fontId="3" fillId="37" borderId="6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right"/>
    </xf>
    <xf numFmtId="0" fontId="3" fillId="36" borderId="26" xfId="0" applyFont="1" applyFill="1" applyBorder="1" applyAlignment="1">
      <alignment horizontal="right"/>
    </xf>
    <xf numFmtId="0" fontId="3" fillId="36" borderId="70" xfId="0" applyFont="1" applyFill="1" applyBorder="1" applyAlignment="1">
      <alignment horizontal="center" vertical="top" wrapText="1"/>
    </xf>
    <xf numFmtId="0" fontId="3" fillId="36" borderId="68" xfId="0" applyFont="1" applyFill="1" applyBorder="1" applyAlignment="1">
      <alignment horizontal="center" vertical="top" wrapText="1"/>
    </xf>
    <xf numFmtId="0" fontId="3" fillId="36" borderId="38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164" fontId="22" fillId="26" borderId="0" xfId="121" applyFont="1" applyFill="1" applyBorder="1"/>
    <xf numFmtId="164" fontId="4" fillId="26" borderId="0" xfId="121" applyFont="1" applyFill="1" applyBorder="1"/>
    <xf numFmtId="164" fontId="4" fillId="26" borderId="17" xfId="121" applyFont="1" applyFill="1" applyBorder="1"/>
    <xf numFmtId="0" fontId="4" fillId="26" borderId="0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51" fillId="25" borderId="74" xfId="99" applyFont="1" applyBorder="1" applyAlignment="1">
      <alignment horizontal="center" wrapText="1"/>
    </xf>
    <xf numFmtId="0" fontId="51" fillId="25" borderId="75" xfId="99" applyFont="1" applyBorder="1" applyAlignment="1">
      <alignment horizontal="center" wrapText="1"/>
    </xf>
    <xf numFmtId="0" fontId="48" fillId="43" borderId="76" xfId="0" applyFont="1" applyFill="1" applyBorder="1" applyAlignment="1">
      <alignment horizontal="center" wrapText="1"/>
    </xf>
    <xf numFmtId="0" fontId="48" fillId="43" borderId="77" xfId="0" applyFont="1" applyFill="1" applyBorder="1" applyAlignment="1">
      <alignment horizontal="center" wrapText="1"/>
    </xf>
    <xf numFmtId="0" fontId="48" fillId="43" borderId="78" xfId="0" applyFont="1" applyFill="1" applyBorder="1" applyAlignment="1">
      <alignment horizontal="center" wrapText="1"/>
    </xf>
    <xf numFmtId="0" fontId="49" fillId="0" borderId="46" xfId="0" applyFont="1" applyBorder="1" applyAlignment="1">
      <alignment horizontal="right" wrapText="1"/>
    </xf>
    <xf numFmtId="0" fontId="49" fillId="0" borderId="41" xfId="0" applyFont="1" applyBorder="1" applyAlignment="1">
      <alignment horizontal="right" wrapText="1"/>
    </xf>
    <xf numFmtId="0" fontId="48" fillId="43" borderId="46" xfId="0" applyFont="1" applyFill="1" applyBorder="1" applyAlignment="1">
      <alignment horizontal="center" wrapText="1"/>
    </xf>
    <xf numFmtId="0" fontId="48" fillId="43" borderId="41" xfId="0" applyFont="1" applyFill="1" applyBorder="1" applyAlignment="1">
      <alignment horizontal="center" wrapText="1"/>
    </xf>
    <xf numFmtId="0" fontId="48" fillId="43" borderId="47" xfId="0" applyFont="1" applyFill="1" applyBorder="1" applyAlignment="1">
      <alignment horizontal="center" wrapText="1"/>
    </xf>
    <xf numFmtId="0" fontId="49" fillId="0" borderId="79" xfId="0" applyFont="1" applyBorder="1" applyAlignment="1">
      <alignment horizontal="right" wrapText="1"/>
    </xf>
    <xf numFmtId="0" fontId="49" fillId="0" borderId="80" xfId="0" applyFont="1" applyBorder="1" applyAlignment="1">
      <alignment horizontal="right" wrapText="1"/>
    </xf>
    <xf numFmtId="0" fontId="51" fillId="25" borderId="44" xfId="99" applyFont="1" applyBorder="1" applyAlignment="1">
      <alignment horizontal="center" wrapText="1"/>
    </xf>
    <xf numFmtId="0" fontId="51" fillId="25" borderId="39" xfId="99" applyFont="1" applyBorder="1" applyAlignment="1">
      <alignment horizont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5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left" wrapText="1"/>
    </xf>
    <xf numFmtId="0" fontId="45" fillId="44" borderId="81" xfId="0" applyFont="1" applyFill="1" applyBorder="1" applyAlignment="1">
      <alignment horizontal="center" vertical="center"/>
    </xf>
    <xf numFmtId="0" fontId="45" fillId="44" borderId="82" xfId="0" applyFont="1" applyFill="1" applyBorder="1" applyAlignment="1">
      <alignment horizontal="center" vertical="center"/>
    </xf>
    <xf numFmtId="0" fontId="45" fillId="44" borderId="83" xfId="0" applyFont="1" applyFill="1" applyBorder="1" applyAlignment="1">
      <alignment horizontal="center" vertical="center"/>
    </xf>
    <xf numFmtId="164" fontId="22" fillId="26" borderId="16" xfId="68" applyFont="1" applyFill="1" applyBorder="1" applyAlignment="1">
      <alignment horizontal="center"/>
    </xf>
    <xf numFmtId="164" fontId="22" fillId="26" borderId="17" xfId="68" applyFont="1" applyFill="1" applyBorder="1" applyAlignment="1">
      <alignment horizontal="center"/>
    </xf>
    <xf numFmtId="0" fontId="0" fillId="0" borderId="0" xfId="0"/>
    <xf numFmtId="0" fontId="0" fillId="0" borderId="17" xfId="0" applyBorder="1"/>
    <xf numFmtId="0" fontId="4" fillId="26" borderId="17" xfId="0" applyFont="1" applyFill="1" applyBorder="1" applyAlignment="1">
      <alignment horizontal="center"/>
    </xf>
    <xf numFmtId="164" fontId="3" fillId="45" borderId="37" xfId="68" applyFont="1" applyFill="1" applyBorder="1" applyAlignment="1">
      <alignment horizontal="left"/>
    </xf>
    <xf numFmtId="164" fontId="3" fillId="45" borderId="12" xfId="68" applyFont="1" applyFill="1" applyBorder="1" applyAlignment="1">
      <alignment horizontal="left"/>
    </xf>
    <xf numFmtId="164" fontId="3" fillId="30" borderId="12" xfId="68" applyFont="1" applyFill="1" applyBorder="1" applyAlignment="1">
      <alignment horizontal="left"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Ruim" xfId="49"/>
    <cellStyle name="Moeda 2" xfId="50"/>
    <cellStyle name="Moeda 3" xfId="51"/>
    <cellStyle name="Neutro" xfId="52"/>
    <cellStyle name="Normal 2" xfId="53"/>
    <cellStyle name="Normal 2 2" xfId="54"/>
    <cellStyle name="Normal 2 3" xfId="55"/>
    <cellStyle name="Normal 3" xfId="56"/>
    <cellStyle name="Normal 4" xfId="57"/>
    <cellStyle name="Nota" xfId="58"/>
    <cellStyle name="Porcentagem 2" xfId="59"/>
    <cellStyle name="Porcentagem 2 2" xfId="60"/>
    <cellStyle name="Porcentagem 2 2 2" xfId="61"/>
    <cellStyle name="Porcentagem 2_ORÇAMENTO matureia corrigido (DEZ 2009)" xfId="62"/>
    <cellStyle name="Porcentagem 3" xfId="63"/>
    <cellStyle name="Porcentagem 4" xfId="64"/>
    <cellStyle name="Saída" xfId="65"/>
    <cellStyle name="Vírgula" xfId="66"/>
    <cellStyle name="Separador de milhares 2" xfId="67"/>
    <cellStyle name="Separador de milhares 2 2" xfId="68"/>
    <cellStyle name="Separador de milhares 2 2 2" xfId="69"/>
    <cellStyle name="Separador de milhares 2 2 2 2" xfId="70"/>
    <cellStyle name="Separador de milhares 2 2 2 2 2" xfId="71"/>
    <cellStyle name="Separador de milhares 2 3" xfId="72"/>
    <cellStyle name="Separador de milhares 2_ORÇAMENTO matureia corrigido (DEZ 2009)" xfId="73"/>
    <cellStyle name="Separador de milhares 3" xfId="74"/>
    <cellStyle name="Separador de milhares 4" xfId="75"/>
    <cellStyle name="Separador de milhares 4 2" xfId="76"/>
    <cellStyle name="Separador de milhares 5" xfId="77"/>
    <cellStyle name="Texto de Aviso" xfId="78"/>
    <cellStyle name="Texto Explicativo" xfId="79"/>
    <cellStyle name="Título" xfId="80"/>
    <cellStyle name="Título 1" xfId="81"/>
    <cellStyle name="Título 1 1" xfId="82"/>
    <cellStyle name="Título 1 1 1" xfId="83"/>
    <cellStyle name="Título 2" xfId="84"/>
    <cellStyle name="Título 3" xfId="85"/>
    <cellStyle name="Título 4" xfId="86"/>
    <cellStyle name="Total" xfId="87"/>
    <cellStyle name="Vírgula 2" xfId="88"/>
    <cellStyle name="Normal 5" xfId="89"/>
    <cellStyle name="Vírgula 3" xfId="90"/>
    <cellStyle name="Saída 2" xfId="91"/>
    <cellStyle name="Moeda" xfId="92"/>
    <cellStyle name="Normal 2 4" xfId="93"/>
    <cellStyle name="Separador de milhares 5 2" xfId="94"/>
    <cellStyle name="Separador de milhares 2 4" xfId="95"/>
    <cellStyle name="Separador de milhares 2 2 3" xfId="96"/>
    <cellStyle name="Separador de milhares 4 2 2" xfId="97"/>
    <cellStyle name="Porcentagem 2 2 2 2" xfId="98"/>
    <cellStyle name="Neutra 2" xfId="99"/>
    <cellStyle name="Excel Built-in Normal" xfId="100"/>
    <cellStyle name="Excel Built-in Normal 1" xfId="101"/>
    <cellStyle name="Excel Built-in Normal 2" xfId="102"/>
    <cellStyle name="Hiperlink 2" xfId="103"/>
    <cellStyle name="Moeda 3 2" xfId="104"/>
    <cellStyle name="Moeda 4" xfId="105"/>
    <cellStyle name="Normal 3 2" xfId="106"/>
    <cellStyle name="Porcentagem 2 3" xfId="107"/>
    <cellStyle name="Separador de milhares 6" xfId="108"/>
    <cellStyle name="Separador de milhares 6 2" xfId="109"/>
    <cellStyle name="Vírgula 4" xfId="110"/>
    <cellStyle name="Vírgula 5" xfId="111"/>
    <cellStyle name="Normal 2 3 2" xfId="112"/>
    <cellStyle name="Porcentagem 3 2" xfId="113"/>
    <cellStyle name="Vírgula 2 2" xfId="114"/>
    <cellStyle name="Moeda 5" xfId="115"/>
    <cellStyle name="Normal 10" xfId="116"/>
    <cellStyle name="Normal 6" xfId="117"/>
    <cellStyle name="Normal 7" xfId="118"/>
    <cellStyle name="Normal 8" xfId="119"/>
    <cellStyle name="Normal 9" xfId="120"/>
    <cellStyle name="Separador de milhares 2 2 2 2 3" xfId="121"/>
    <cellStyle name="Separador de milhares 41" xfId="122"/>
    <cellStyle name="Separador de milhares 6 2 2" xfId="123"/>
    <cellStyle name="Separador de milhares 6 3" xfId="124"/>
    <cellStyle name="Separador de milhares 2 2 2 2 2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47625</xdr:rowOff>
    </xdr:from>
    <xdr:to>
      <xdr:col>2</xdr:col>
      <xdr:colOff>771525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33900" y="47625"/>
          <a:ext cx="0" cy="6762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  <xdr:twoCellAnchor>
    <xdr:from>
      <xdr:col>1</xdr:col>
      <xdr:colOff>1285875</xdr:colOff>
      <xdr:row>0</xdr:row>
      <xdr:rowOff>161925</xdr:rowOff>
    </xdr:from>
    <xdr:to>
      <xdr:col>2</xdr:col>
      <xdr:colOff>447675</xdr:colOff>
      <xdr:row>4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57600" y="161925"/>
          <a:ext cx="552450" cy="590550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76200</xdr:rowOff>
    </xdr:from>
    <xdr:to>
      <xdr:col>1</xdr:col>
      <xdr:colOff>2162175</xdr:colOff>
      <xdr:row>4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28850" y="76200"/>
          <a:ext cx="552450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3429000</xdr:colOff>
      <xdr:row>0</xdr:row>
      <xdr:rowOff>38100</xdr:rowOff>
    </xdr:from>
    <xdr:to>
      <xdr:col>3</xdr:col>
      <xdr:colOff>428625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10025" y="38100"/>
          <a:ext cx="876300" cy="800100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3657600</xdr:colOff>
      <xdr:row>0</xdr:row>
      <xdr:rowOff>28575</xdr:rowOff>
    </xdr:from>
    <xdr:to>
      <xdr:col>2</xdr:col>
      <xdr:colOff>161925</xdr:colOff>
      <xdr:row>5</xdr:row>
      <xdr:rowOff>9525</xdr:rowOff>
    </xdr:to>
    <xdr:pic>
      <xdr:nvPicPr>
        <xdr:cNvPr id="190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05300" y="28575"/>
          <a:ext cx="83820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2085975</xdr:colOff>
      <xdr:row>0</xdr:row>
      <xdr:rowOff>76200</xdr:rowOff>
    </xdr:from>
    <xdr:to>
      <xdr:col>2</xdr:col>
      <xdr:colOff>447675</xdr:colOff>
      <xdr:row>4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9025" y="76200"/>
          <a:ext cx="11525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190500</xdr:rowOff>
    </xdr:from>
    <xdr:to>
      <xdr:col>2</xdr:col>
      <xdr:colOff>1419225</xdr:colOff>
      <xdr:row>5</xdr:row>
      <xdr:rowOff>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05400" y="190500"/>
          <a:ext cx="11525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1</xdr:row>
      <xdr:rowOff>161925</xdr:rowOff>
    </xdr:from>
    <xdr:to>
      <xdr:col>2</xdr:col>
      <xdr:colOff>3638550</xdr:colOff>
      <xdr:row>3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62475" y="323850"/>
          <a:ext cx="590550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28575</xdr:rowOff>
    </xdr:from>
    <xdr:to>
      <xdr:col>3</xdr:col>
      <xdr:colOff>685800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29225" y="28575"/>
          <a:ext cx="838200" cy="8191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iramiltonassessoria\A%20%20-%20%20Trabalhos%20Atuais%20UFPB\AULAS\Tecnologia%20II%20%2005.2\Equipe%20BrunaJulianaThais\Quarto\PRE&#199;O2006-atualizado%20MAI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RQUIVOS%20DIEGO\DIEGO\pedra%20branca-pra&#231;a%20de%20eventos\iramiltonassessoria\2009\PREFEITURAS\Matur&#233;ia\Banco%20de%20sementes%200276650-94\PROJETO%20COMPLETO(AGOSTO)\OR&#199;AMENTO%20matureia%20corrigido%20(DEZ%202009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iramiltonassessoria\2009\PREFEITURAS\Matur&#233;ia\Banco%20de%20sementes%200276650-94\PROJETO%20COMPLETO(AGOSTO)\OR&#199;AMENTO%20matureia%20corrigido%20(DEZ%202009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atospb\2014\PREFEITURAS\CACIMBAS\EDUCA&#199;&#195;O\Projeto%20Murada%20da%20Creche%20Proinf&#226;ncia%20Tipo%20C\iramiltonassessoria\2010\PREFEITURAS%202010\Cacimba%20de%20Areia\Caixa\CV%20Caixa%20Campo%20140.000,00\AMPLIAC&#195;O%20DO%20CAMPO%20DE%20FUTEBOL%20(140.000,00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iramiltonassessoria\2010\PREFEITURAS%202010\Cacimba%20de%20Areia\Caixa\CV%20Caixa%20Campo%20140.000,00\AMPLIAC&#195;O%20DO%20CAMPO%20DE%20FUTEBOL%20(140.000,00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RQUIVOS%20DIEGO\DIEGO\pedra%20branca-pra&#231;a%20de%20eventos\iramiltonassessoria\2010\PREFEITURAS%202010\Cacimba%20de%20Areia\Caixa\CV%20Caixa%20Campo%20140.000,00\AMPLIAC&#195;O%20DO%20CAMPO%20DE%20FUTEBOL%20(140.000,00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83;Ccl\Concorrencia\10%20sec%20saude\QL2FAXW\INBOX\PROJETOS\PETROL&#194;N\OR02129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idor\Users\usuario\Desktop\Virg&#237;nia%20Prefeitura\Prefeitura%20Municipal%20de%20Patos\Ginasio%20de%20Santa%20Gertrudes\GIN&#193;SIO%20DE%20St&#170;%20GERTRUDES_ADITAMENTO_2013\Planilha%20Or&#231;ament&#225;ria%20Gin&#225;sio%20de%20Santa%20Gertrudes_ADITAMENTO_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IENT~1\AppData\Local\Temp\OR&#199;AMENTO%20NOVA%20OLINDA%20OK%20(PARA%20ANALISE%20DA%20CAIXA)%20TIMBRAD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%20%20-%20%20Trabalhos%20Atuais%20UFPB\AULAS\Tecnologia%20II%20%2005.2\Equipe%20BrunaJulianaThais\Terceiro\Planilhas%20-%20pred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Users\marcio\AppData\Roaming\Microsoft\Excel\iramiltonassessoria\A%20%20-%20%20Trabalhos%20Atuais%20UFPB\AULAS\Tecnologia%20II%20%2005.2\Equipe%20BrunaJulianaThais\Quarto\PRE&#199;O2006-atualizado%20MAI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f.%20da%20E.E.%20de%201&#186;%20Grau%20Jos&#233;%20Am&#233;rico%20de%20Almei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aramy\Users\ARNALDO\Documents\ARNALDO%20GERAL\22-CLAUDINEIA\GIN&#193;SIO%20PAULISTA\10-QUADRA%20POLIESPORTIVA%202&#170;%20ETAP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RQUIVOS%20DIEGO\DIEGO\pedra%20branca-pra&#231;a%20de%20eventos\iramiltonassessoria\A%20%20-%20%20Trabalhos%20Atuais%20UFPB\AULAS\Tecnologia%20II%20%2005.2\Equipe%20BrunaJulianaThais\Quarto\PRE&#199;O2006-atualizado%20MAI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atospb\2014\PREFEITURAS\CACIMBAS\EDUCA&#199;&#195;O\Projeto%20Murada%20da%20Creche%20Proinf&#226;ncia%20Tipo%20C\iramiltonassessoria\A%20%20-%20%20Trabalhos%20Atuais%20UFPB\AULAS\Tecnologia%20II%20%2005.2\Equipe%20BrunaJulianaThais\Quarto\PRE&#199;O2006-atualizado%20MAI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ef.%20e%20Ampl.%20da%20E.%20E.%20E.%20M.%20Joaquim%20Lacerda%20Leite%20-%20S&#227;o%20Jose%20de%20Piranha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ra\SERVIDOR\2012\PREFEITURAS\MARIZ&#211;POLIS\CAIXA\CONTRATOS%202011\PAVIMENTA&#199;&#195;O%20-%20MTUR\ENGENHARIA\Or&#231;amento%20pavimenta&#231;&#227;o%20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IÇÃO"/>
      <sheetName val="QUANTITATIVO"/>
      <sheetName val="CRONOGRAMA"/>
    </sheetNames>
    <sheetDataSet>
      <sheetData sheetId="0" refreshError="1">
        <row r="8">
          <cell r="C8">
            <v>1.59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DE CUSTOS"/>
      <sheetName val="BCO DE SEMENTES CORRETA"/>
      <sheetName val="QUADRA MULTI_USO"/>
      <sheetName val="CTO DE ATIVIDADES CORRETO"/>
      <sheetName val="ORÇAMENTO GLOBAL"/>
      <sheetName val="FOSSA e SUMIDOURO"/>
      <sheetName val="Orçamento Banco em Alvenaria"/>
      <sheetName val="Orçamento Cisterna"/>
      <sheetName val="COMPOSIÇÃO _FOSSA E SUMIDOURO_"/>
      <sheetName val="elétrico com códigos_3_"/>
      <sheetName val="QCI FINAL"/>
      <sheetName val="CRONOGRAMA GLOBAL"/>
      <sheetName val="CRON. GLOBAL S EQUIPA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 DE CUSTOS"/>
      <sheetName val="BCO DE SEMENTES CORRETA"/>
      <sheetName val="QUADRA MULTI_USO"/>
      <sheetName val="CTO DE ATIVIDADES CORRETO"/>
      <sheetName val="ORÇAMENTO GLOBAL"/>
      <sheetName val="FOSSA e SUMIDOURO"/>
      <sheetName val="Orçamento Banco em Alvenaria"/>
      <sheetName val="Orçamento Cisterna"/>
      <sheetName val="COMPOSIÇÃO _FOSSA E SUMIDOURO_"/>
      <sheetName val="elétrico com códigos_3_"/>
      <sheetName val="QCI FINAL"/>
      <sheetName val="CRONOGRAMA GLOBAL"/>
      <sheetName val="CRON. GLOBAL S EQUIPA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"/>
      <sheetName val="Orçamento"/>
      <sheetName val="QCI"/>
      <sheetName val="CRONOGRAMA"/>
      <sheetName val="COMPOSIÇÃO DO BDI "/>
      <sheetName val="COMPOSIÇÃO CUSTO"/>
      <sheetName val="MODELO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"/>
      <sheetName val="Orçamento"/>
      <sheetName val="QCI"/>
      <sheetName val="CRONOGRAMA"/>
      <sheetName val="COMPOSIÇÃO DO BDI "/>
      <sheetName val="COMPOSIÇÃO CUSTO"/>
      <sheetName val="MODELO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"/>
      <sheetName val="Orçamento"/>
      <sheetName val="QCI"/>
      <sheetName val="CRONOGRAMA"/>
      <sheetName val="COMPOSIÇÃO DO BDI "/>
      <sheetName val="COMPOSIÇÃO CUSTO"/>
      <sheetName val="MODELO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R021296"/>
    </sheetNames>
    <definedNames>
      <definedName name="PassaExtenso"/>
    </defined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ão"/>
      <sheetName val="Memória de Cálculo"/>
      <sheetName val="Planilha_Ajustada"/>
      <sheetName val="PLAN_FINAL"/>
      <sheetName val="Cronograma_FIN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ÁLCULO "/>
      <sheetName val="MEMÓRIA DE CÁLCULO (1ª ETAPA)"/>
      <sheetName val="MEMÓRIA DE CÁLCULO ALTERADA"/>
      <sheetName val="ORÇAMENTO GERAL ALTERADO"/>
      <sheetName val="ORÇAMENTO GERAL PRAÇA "/>
      <sheetName val="ORÇAMENTO PRAÇA (2ª ETAPA)"/>
      <sheetName val="ORCAM DOS BANCOS"/>
      <sheetName val="ORÇAM EQUIPAMENTOS"/>
      <sheetName val="ORCAM DA RAMPA"/>
      <sheetName val="ORCAM CONCRETO ARMADO"/>
      <sheetName val="QCI "/>
      <sheetName val="QCI - 2ª ETAPA"/>
      <sheetName val="Cronograma"/>
      <sheetName val="Cronog - 2ª ETAPA"/>
      <sheetName val="COMPOSIÇÃO DO BDI (2ª ETAPA)"/>
      <sheetName val="COTAÇÕES"/>
      <sheetName val="PLANILHA VENCEDORA ATUALIZADA"/>
      <sheetName val="COMPOSIÇÕES DE PREÇOS UNIT. (2"/>
      <sheetName val="COMPOSICAO DO BDI Fórmula TCU"/>
      <sheetName val="COMPOSIÇÃO DO BDI COM CPRB"/>
      <sheetName val="COTAÇÃO DA LIXEIRA"/>
      <sheetName val="COTAÇÃO LUMINÁRIA LED"/>
      <sheetName val="COTAÇÃO INTERTRAVADO"/>
      <sheetName val="COTAÇÃO SPOT"/>
      <sheetName val="QUADRO RESUMO COTAÇÃO PALMEIRA"/>
      <sheetName val="Plan2"/>
    </sheetNames>
    <sheetDataSet>
      <sheetData sheetId="0"/>
      <sheetData sheetId="1"/>
      <sheetData sheetId="2">
        <row r="9">
          <cell r="A9" t="str">
            <v>OBRA: REFORMA DE PRAÇA NO MUNICÍPIO DE NOVA OLINDA-PB                                                                                                                                             ART OBRA: PB20180169890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8">
          <cell r="B18" t="str">
            <v>Locação da obra, com uso de equipamentos topográficos, inclusive nivelador</v>
          </cell>
          <cell r="E18" t="str">
            <v>m²</v>
          </cell>
        </row>
        <row r="19">
          <cell r="B19" t="str">
            <v>Placa de obra em chapa de aço galvanizado (10,00 m²)</v>
          </cell>
          <cell r="E19" t="str">
            <v>m²</v>
          </cell>
        </row>
        <row r="22">
          <cell r="B22" t="str">
            <v>Regularização de superfícies em terra com motoniveladora</v>
          </cell>
          <cell r="E22" t="str">
            <v>m²</v>
          </cell>
        </row>
        <row r="24">
          <cell r="B24" t="str">
            <v>ELEVAÇÃO</v>
          </cell>
          <cell r="C24">
            <v>0</v>
          </cell>
          <cell r="D24">
            <v>0</v>
          </cell>
          <cell r="E24">
            <v>0</v>
          </cell>
        </row>
        <row r="25">
          <cell r="B25" t="str">
            <v>Preparo de fundo de vala com largura menor que 1,5 m, em local com nível baixo de interferência. </v>
          </cell>
          <cell r="E25" t="str">
            <v>m²</v>
          </cell>
        </row>
        <row r="26">
          <cell r="B26" t="str">
            <v>Alvenaria de vedação de blocos vazados de concreto de 9x19x39cm (espessura 9cm) de paredes com área líquida menor que 6m² sem vãos e argamassa de assentamento com preparo em betoneira.</v>
          </cell>
          <cell r="E26" t="str">
            <v>m²</v>
          </cell>
        </row>
        <row r="28">
          <cell r="B28" t="str">
            <v>ESTRUTURAS DE CONCRETO (MONUMENTOS)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4.1</v>
          </cell>
          <cell r="B29" t="str">
            <v>Monumento 01</v>
          </cell>
          <cell r="C29">
            <v>0</v>
          </cell>
        </row>
        <row r="30">
          <cell r="A30" t="str">
            <v>4.1.1</v>
          </cell>
          <cell r="B30" t="str">
            <v>Montagem e desmontagem de fôrma de pilares retangulares e estruturas similares com área média das seções maior que 0,25 m², pé-direito simples, em chapa de madeira compensada plastificada, 18 utilizações</v>
          </cell>
          <cell r="E30" t="str">
            <v>m²</v>
          </cell>
        </row>
        <row r="31">
          <cell r="A31" t="str">
            <v>4.1.2</v>
          </cell>
          <cell r="B31" t="str">
            <v>Armação de pilar ou viga de uma estrutura convencional de concreto armado em uma edifícação térrea ou sobrado utilizando aço ca-50 de 10.0 mm</v>
          </cell>
          <cell r="E31" t="str">
            <v>Kg</v>
          </cell>
        </row>
        <row r="32">
          <cell r="A32" t="str">
            <v>4.1.3</v>
          </cell>
          <cell r="B32" t="str">
            <v>Armação de pilar ou viga de uma estrutura convencional de concreto armado em uma edifícação térrea ou sobrado utilizando aço ca-60 de 5.0 mm</v>
          </cell>
          <cell r="E32" t="str">
            <v>Kg</v>
          </cell>
        </row>
        <row r="33">
          <cell r="A33" t="str">
            <v>4.1.4</v>
          </cell>
          <cell r="B33" t="str">
            <v>Concreto fck = 25mpa, traço 1:2,3:2,7 (cimento/ areia média/ brita 1) - preparo mecânico com betoneira 400 l.</v>
          </cell>
          <cell r="E33" t="str">
            <v>m³</v>
          </cell>
        </row>
        <row r="34">
          <cell r="A34" t="str">
            <v>4.1.5</v>
          </cell>
          <cell r="B34" t="str">
            <v>Lançamento/aplicação manual de concreto</v>
          </cell>
          <cell r="E34" t="str">
            <v>m³</v>
          </cell>
        </row>
        <row r="35">
          <cell r="A35" t="str">
            <v>4.2</v>
          </cell>
          <cell r="B35" t="str">
            <v>Monumento 02</v>
          </cell>
        </row>
        <row r="36">
          <cell r="A36" t="str">
            <v>4.2.1</v>
          </cell>
          <cell r="B36" t="str">
            <v>Monumento com nome da cidade, feito em concreto armado</v>
          </cell>
        </row>
        <row r="38">
          <cell r="B38" t="str">
            <v>PAVIMENTAÇÃO E PISO</v>
          </cell>
          <cell r="C38">
            <v>0</v>
          </cell>
        </row>
        <row r="39">
          <cell r="A39" t="str">
            <v>5.1</v>
          </cell>
          <cell r="B39" t="str">
            <v>Lastro de concreto magro, aplicado em pisos ou radiers, espessura de 5cm.</v>
          </cell>
          <cell r="E39" t="str">
            <v>m²</v>
          </cell>
        </row>
        <row r="40">
          <cell r="A40" t="str">
            <v>5.2</v>
          </cell>
          <cell r="B40" t="str">
            <v>Contrapiso em argamassa traço 1:4 (cimento e areia), preparo mecânico com betoneira 400 L, aderido, espessura 3 cm, acabamento reforçado</v>
          </cell>
          <cell r="E40" t="str">
            <v>m²</v>
          </cell>
        </row>
        <row r="41">
          <cell r="A41" t="str">
            <v>5.3</v>
          </cell>
          <cell r="B41" t="str">
            <v>Revestimento cerâmico para piso com placas tipo porcelanato de dimensões 60x60 cm </v>
          </cell>
          <cell r="E41" t="str">
            <v>m²</v>
          </cell>
        </row>
        <row r="42">
          <cell r="A42" t="str">
            <v>5.4</v>
          </cell>
          <cell r="B42" t="str">
            <v>Execução de pavimento em piso intertravado, cor natural, espessura 6 cm. </v>
          </cell>
          <cell r="E42" t="str">
            <v>m²</v>
          </cell>
        </row>
        <row r="43">
          <cell r="A43" t="str">
            <v>5.5</v>
          </cell>
          <cell r="B43" t="str">
            <v>Execução de pavimento em piso intertravado, cor natural, espessura 6 cm. </v>
          </cell>
          <cell r="E43" t="str">
            <v>m²</v>
          </cell>
        </row>
        <row r="44">
          <cell r="A44" t="str">
            <v>5.6</v>
          </cell>
          <cell r="B44" t="str">
            <v>Assentamento de guia (meio-fio) em trecho reto, confeccionada em concreto pré-fabricado, dimensões 100x15x13x30 cm (comprimento x base inferior x base superior x altura), para vias urbanas (uso viário). </v>
          </cell>
          <cell r="E44" t="str">
            <v>m</v>
          </cell>
        </row>
        <row r="46">
          <cell r="A46" t="str">
            <v>6.0</v>
          </cell>
          <cell r="B46" t="str">
            <v>INSTALAÇÕES ELÉTRICAS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6.1</v>
          </cell>
          <cell r="B47" t="str">
            <v>ENTRADA DE ENERGIA ELÉTRICA AÉREA MONOFÁSICA 50A COM POSTE DE CONCRETO, INCLUSIVE CABEAMENTO, CAIXA DE PROTEÇÃO PARA MEDIDOR E ATERRAMENTO.</v>
          </cell>
          <cell r="E47" t="str">
            <v>und</v>
          </cell>
        </row>
        <row r="48">
          <cell r="A48" t="str">
            <v>6.2</v>
          </cell>
          <cell r="B48" t="str">
            <v>Quadro de medição de embutir - Conj. 1 medidor bifásico e 1 trifásico</v>
          </cell>
          <cell r="E48" t="str">
            <v>und</v>
          </cell>
        </row>
        <row r="49">
          <cell r="A49" t="str">
            <v>6.3</v>
          </cell>
          <cell r="B49" t="str">
            <v>Quadro de distribuicao de energia de embutir, em chapa metalica, para 18 disjuntores termomagneticos monopolares, com barramento trifasico e Neutro, fornecimento e instalacao</v>
          </cell>
          <cell r="E49" t="str">
            <v>und</v>
          </cell>
        </row>
        <row r="50">
          <cell r="A50" t="str">
            <v>6.4</v>
          </cell>
          <cell r="B50" t="str">
            <v>Disjuntor termomagnético monopolar padrão nema 10 a 30A 240V, fornecimento e instalação</v>
          </cell>
          <cell r="E50" t="str">
            <v>und</v>
          </cell>
        </row>
        <row r="51">
          <cell r="A51" t="str">
            <v>6.5</v>
          </cell>
          <cell r="B51" t="str">
            <v>Tomada baixa de embutir (1 módulo), 2p+t 10 a, incluindo suporte e placa - fornecimento e instalação.</v>
          </cell>
          <cell r="E51" t="str">
            <v>und</v>
          </cell>
        </row>
        <row r="52">
          <cell r="A52" t="str">
            <v>6.6</v>
          </cell>
          <cell r="B52" t="str">
            <v>Caixa retangular 4" x 2" média (1,30 m do piso), pvc, instalada em parede - fornecimento e instalação.</v>
          </cell>
          <cell r="E52" t="str">
            <v>und</v>
          </cell>
        </row>
        <row r="53">
          <cell r="A53" t="str">
            <v>6.7</v>
          </cell>
          <cell r="B53" t="str">
            <v>Caixa de Passagem de embutir, 150X150X75mm com tampa</v>
          </cell>
          <cell r="E53" t="str">
            <v>und</v>
          </cell>
        </row>
        <row r="54">
          <cell r="A54" t="str">
            <v>6.8</v>
          </cell>
          <cell r="B54" t="str">
            <v>Relé Fotoelétrico para comando de iluminação externa 220V/1000W - fornecimento e instalação</v>
          </cell>
          <cell r="E54" t="str">
            <v>und</v>
          </cell>
        </row>
        <row r="55">
          <cell r="A55" t="str">
            <v>6.9</v>
          </cell>
          <cell r="B55" t="str">
            <v>Cabo de cobre flexível isolado, 2,5 mm², anti-chama 450/750 v, para circuitos terminais - fornecimento e instalação.</v>
          </cell>
          <cell r="E55" t="str">
            <v>m</v>
          </cell>
        </row>
        <row r="56">
          <cell r="A56" t="str">
            <v>6.10</v>
          </cell>
          <cell r="B56" t="str">
            <v>Cabo de cobre flexível isolado, 10 mm², anti-chama 450/750 v, para circuitos terminais - fornecimento e instalação.</v>
          </cell>
          <cell r="E56" t="str">
            <v>m</v>
          </cell>
        </row>
        <row r="57">
          <cell r="A57" t="str">
            <v>6.11</v>
          </cell>
          <cell r="B57" t="str">
            <v>Eletroduto leve PVC flexível DN 20 MM (3/4") inclusive conexoes, fornecimento e instalação</v>
          </cell>
          <cell r="E57" t="str">
            <v>m</v>
          </cell>
        </row>
        <row r="58">
          <cell r="A58" t="str">
            <v>6.12</v>
          </cell>
          <cell r="B58" t="str">
            <v>Luminária para iluminação pública LED 150w</v>
          </cell>
          <cell r="E58" t="str">
            <v>und</v>
          </cell>
        </row>
        <row r="59">
          <cell r="A59" t="str">
            <v>6.13</v>
          </cell>
          <cell r="B59" t="str">
            <v>Poste concreto seção circular comprimento=9M, carga nominal no topo 300 kg - Inclusive escavação, fornecimento e colocação</v>
          </cell>
          <cell r="E59" t="str">
            <v>und</v>
          </cell>
        </row>
        <row r="60">
          <cell r="A60" t="str">
            <v>6.14</v>
          </cell>
          <cell r="B60" t="str">
            <v>Braço p/ iluminacao de ruas em tubo aco galv 1" comp = 1,20m e inclinacao 25graus em relacao ao plano vertical p/ fixacao em poste ou parede - fornecimento e instalacao</v>
          </cell>
          <cell r="E60" t="str">
            <v>und</v>
          </cell>
        </row>
        <row r="61">
          <cell r="A61" t="str">
            <v>6.15</v>
          </cell>
          <cell r="B61" t="str">
            <v>Caixa octogonal de fundo movel, em pvc, de 3" x 3", para eletroduto flexivel corrugado</v>
          </cell>
          <cell r="E61" t="str">
            <v>und</v>
          </cell>
        </row>
        <row r="62">
          <cell r="A62" t="str">
            <v>6.16</v>
          </cell>
          <cell r="B62" t="str">
            <v>Spot Balizador Led 5w Piso Jardim Bivolt</v>
          </cell>
          <cell r="E62" t="str">
            <v>und</v>
          </cell>
        </row>
        <row r="64">
          <cell r="A64" t="str">
            <v>7.0</v>
          </cell>
          <cell r="B64" t="str">
            <v>INSTALAÇÕES HIDRÁULICAS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7.1</v>
          </cell>
          <cell r="B65" t="str">
            <v>Tubo, pvc, soldável, DN 25mm, instalado em ramal ou sub-ramal de água - fornecimento e instalação.</v>
          </cell>
          <cell r="E65" t="str">
            <v>m</v>
          </cell>
        </row>
        <row r="66">
          <cell r="A66" t="str">
            <v>7.2</v>
          </cell>
          <cell r="B66" t="str">
            <v>BOMBA RECALQUE D'AGUA TRIFASICA 10,0 HP</v>
          </cell>
          <cell r="E66" t="str">
            <v>und</v>
          </cell>
        </row>
        <row r="67">
          <cell r="A67" t="str">
            <v>7.3</v>
          </cell>
          <cell r="B67" t="str">
            <v>Tê soldável 25 mm</v>
          </cell>
          <cell r="E67" t="str">
            <v>und</v>
          </cell>
        </row>
        <row r="68">
          <cell r="A68" t="str">
            <v>7.4</v>
          </cell>
          <cell r="B68" t="str">
            <v>Joelho 45 graus, pvc, soldável, dn 25mm, instalado em prumada de água - fornecimento e instalação</v>
          </cell>
          <cell r="E68" t="str">
            <v>und</v>
          </cell>
        </row>
        <row r="69">
          <cell r="A69" t="str">
            <v>7.5</v>
          </cell>
          <cell r="B69" t="str">
            <v>Adaptador soldável curto c/ bolsa</v>
          </cell>
          <cell r="E69" t="str">
            <v>und</v>
          </cell>
        </row>
        <row r="70">
          <cell r="A70" t="str">
            <v>7.6</v>
          </cell>
          <cell r="B70" t="str">
            <v>Joelho 90 graus, pvc, soldável, dn 25mm, instalado em prumada de água- fornecimento e instalação.</v>
          </cell>
          <cell r="E70" t="str">
            <v>und</v>
          </cell>
        </row>
        <row r="71">
          <cell r="A71" t="str">
            <v>7.7</v>
          </cell>
          <cell r="B71" t="str">
            <v>Registro gaveta com acabamento e canopla cromados, simples, bitola 3/4"</v>
          </cell>
          <cell r="E71" t="str">
            <v>und</v>
          </cell>
        </row>
        <row r="72">
          <cell r="A72" t="str">
            <v>7.8</v>
          </cell>
          <cell r="B72" t="str">
            <v>Registro de esfera 3/4"</v>
          </cell>
          <cell r="E72" t="str">
            <v>und</v>
          </cell>
        </row>
        <row r="74">
          <cell r="A74" t="str">
            <v>8.0</v>
          </cell>
          <cell r="B74" t="str">
            <v>PINTURA/REVESTIMENTO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8.1</v>
          </cell>
          <cell r="B75" t="str">
            <v>Pintura acrilica em piso cimentado duas demaos</v>
          </cell>
        </row>
        <row r="76">
          <cell r="B76" t="str">
            <v>Pintura acrilica em piso cimentado duas demaos</v>
          </cell>
        </row>
        <row r="77">
          <cell r="B77" t="str">
            <v>Revestimento em mármore</v>
          </cell>
        </row>
        <row r="78">
          <cell r="B78" t="str">
            <v>Aplicação manual de pintura com tinta texturizada acrílica em panos com presença de vãos de edifícios de múltiplos pavimentos, uma cor.</v>
          </cell>
        </row>
        <row r="80">
          <cell r="A80" t="str">
            <v>9.0</v>
          </cell>
          <cell r="B80" t="str">
            <v>ARBORIZAÇÃO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9.1</v>
          </cell>
          <cell r="B81" t="str">
            <v>Plantio de grama esmeralda em rolo</v>
          </cell>
          <cell r="E81" t="str">
            <v>m²</v>
          </cell>
        </row>
        <row r="82">
          <cell r="B82" t="str">
            <v>Plantio de árvore, altura de 1,00m, em cavas 0,80 x 0,80 x 0,80 m</v>
          </cell>
          <cell r="E82" t="str">
            <v>und</v>
          </cell>
        </row>
        <row r="83">
          <cell r="B83" t="str">
            <v>Plantio de árvore regional, altura maior que 2,00m, em cavas 0,80 x 0,80 x 0,80 m</v>
          </cell>
          <cell r="E83" t="str">
            <v>und</v>
          </cell>
        </row>
        <row r="84">
          <cell r="B84" t="str">
            <v>Plantio de palmeira imperial, h = 10,00 m, em cavas de 80x80x80cm</v>
          </cell>
          <cell r="E84" t="str">
            <v>und</v>
          </cell>
        </row>
        <row r="86">
          <cell r="A86" t="str">
            <v>10.0</v>
          </cell>
          <cell r="B86" t="str">
            <v>DIVERSOS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10.1</v>
          </cell>
          <cell r="B87" t="str">
            <v>Rampa para acesso de deficientes em concreto simples, com pintura indicativa e sinalização tátil (NBR 9050/04)</v>
          </cell>
          <cell r="E87" t="str">
            <v>und</v>
          </cell>
        </row>
        <row r="88">
          <cell r="A88" t="str">
            <v>10.2</v>
          </cell>
          <cell r="B88" t="str">
            <v>Lixeira individual para coleta seletiva com poste, cap. 40 litros</v>
          </cell>
          <cell r="E88" t="str">
            <v>und</v>
          </cell>
        </row>
        <row r="89">
          <cell r="A89" t="str">
            <v>10.3</v>
          </cell>
          <cell r="B89" t="str">
            <v>Banco em pranchão de madeira 2,0x0,50x0,04m-envernizada, confeccionado c/ tubos de aço galvanizado-rosca, d=2 1/2", pintados com epoxi e esmalte </v>
          </cell>
          <cell r="E89" t="str">
            <v>und</v>
          </cell>
        </row>
        <row r="90">
          <cell r="A90" t="str">
            <v>10.4</v>
          </cell>
          <cell r="B90" t="str">
            <v>Caramanchão</v>
          </cell>
          <cell r="E90" t="str">
            <v>und</v>
          </cell>
        </row>
        <row r="91">
          <cell r="A91" t="str">
            <v>10.5</v>
          </cell>
          <cell r="B91" t="str">
            <v> Mesa c/ tampo Ø=1,00m em concreto armado polido sobre tubo de concreto armado Ø=0,40m, e 4 bancos em concreto armado Ø=0,40m, com pintura acrílica cor cinza grafite da Coral ou similar.</v>
          </cell>
          <cell r="E91" t="str">
            <v>und</v>
          </cell>
        </row>
        <row r="92">
          <cell r="A92" t="str">
            <v>10.6</v>
          </cell>
          <cell r="B92" t="str">
            <v>Vidro temperado incolor e=6mm - fornecimento e instalação, inclusive massa para vedação</v>
          </cell>
          <cell r="E92" t="str">
            <v>m²</v>
          </cell>
        </row>
        <row r="93">
          <cell r="A93" t="str">
            <v>10.7</v>
          </cell>
          <cell r="B93" t="str">
            <v>Limpeza final da obra</v>
          </cell>
          <cell r="E93" t="str">
            <v>m²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2">
          <cell r="G32">
            <v>0.3886450000000001</v>
          </cell>
        </row>
        <row r="51">
          <cell r="G51">
            <v>173.604585</v>
          </cell>
        </row>
        <row r="74">
          <cell r="G74">
            <v>147.05535</v>
          </cell>
        </row>
        <row r="107">
          <cell r="G107">
            <v>721.84294</v>
          </cell>
        </row>
        <row r="127">
          <cell r="G127">
            <v>313.0846</v>
          </cell>
        </row>
        <row r="150">
          <cell r="G150">
            <v>46.05952</v>
          </cell>
        </row>
        <row r="172">
          <cell r="G172">
            <v>187.36665000000002</v>
          </cell>
        </row>
        <row r="194">
          <cell r="G194">
            <v>120.12664999999998</v>
          </cell>
        </row>
        <row r="215">
          <cell r="G215">
            <v>1471.89384</v>
          </cell>
        </row>
        <row r="233">
          <cell r="G233">
            <v>1161.1414</v>
          </cell>
        </row>
        <row r="250">
          <cell r="G250">
            <v>34.324</v>
          </cell>
        </row>
        <row r="275">
          <cell r="G275">
            <v>265.371</v>
          </cell>
        </row>
        <row r="291">
          <cell r="G291">
            <v>22.429000000000002</v>
          </cell>
        </row>
        <row r="347">
          <cell r="G347">
            <v>2856.3366499999997</v>
          </cell>
        </row>
        <row r="367">
          <cell r="G367">
            <v>483.7874</v>
          </cell>
        </row>
        <row r="386">
          <cell r="G386">
            <v>10.144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dro de quantitativos"/>
      <sheetName val="INSUMOS"/>
      <sheetName val="CPU"/>
      <sheetName val="ORÇAMENTO obra"/>
      <sheetName val="Cronograma Fisico"/>
      <sheetName val="Cronograma Financeiro"/>
    </sheetNames>
    <sheetDataSet>
      <sheetData sheetId="0" refreshError="1"/>
      <sheetData sheetId="1" refreshError="1">
        <row r="6">
          <cell r="C6">
            <v>1.91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IÇÃO"/>
      <sheetName val="QUANTITATIVO"/>
      <sheetName val="CRONOGRAMA"/>
    </sheetNames>
    <sheetDataSet>
      <sheetData sheetId="0" refreshError="1">
        <row r="8">
          <cell r="C8">
            <v>1.59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DEZEMBRO 2000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B.D.I"/>
      <sheetName val="L.S"/>
      <sheetName val="MEMORIA"/>
      <sheetName val="PLAN. DE PREÇO"/>
      <sheetName val="INVESTIMENTO"/>
      <sheetName val="COMPOSIÇÃO"/>
      <sheetName val="CRONOGRAMA"/>
    </sheetNames>
    <sheetDataSet>
      <sheetData sheetId="0">
        <row r="8">
          <cell r="C8">
            <v>1.91</v>
          </cell>
        </row>
        <row r="9">
          <cell r="C9">
            <v>2.56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IÇÃO"/>
      <sheetName val="QUANTITATIVO"/>
      <sheetName val="CRONOGRAMA"/>
    </sheetNames>
    <sheetDataSet>
      <sheetData sheetId="0" refreshError="1">
        <row r="8">
          <cell r="C8">
            <v>1.59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IÇÃO"/>
      <sheetName val="QUANTITATIVO"/>
      <sheetName val="CRONOGRAMA"/>
    </sheetNames>
    <sheetDataSet>
      <sheetData sheetId="0" refreshError="1">
        <row r="8">
          <cell r="C8">
            <v>1.59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boratorio"/>
      <sheetName val="reforma"/>
      <sheetName val="Reforma - Preço Dez. 2000"/>
      <sheetName val="ampliaçã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MORIA DE CALCULO"/>
      <sheetName val="ORÇAMENTO"/>
      <sheetName val="QCI"/>
      <sheetName val="Cronog CP financeira"/>
      <sheetName val="Custos Unitários "/>
      <sheetName val="COMPOSIÇÃO DO BDI "/>
      <sheetName val="CUBAC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1"/>
  <sheetViews>
    <sheetView view="pageBreakPreview" zoomScaleSheetLayoutView="100" workbookViewId="0" topLeftCell="A1">
      <selection activeCell="I15" sqref="I15"/>
    </sheetView>
  </sheetViews>
  <sheetFormatPr defaultColWidth="11.421875" defaultRowHeight="12.75"/>
  <cols>
    <col min="1" max="1" width="35.57421875" style="93" customWidth="1"/>
    <col min="2" max="2" width="20.8515625" style="93" customWidth="1"/>
    <col min="3" max="3" width="11.57421875" style="93" customWidth="1"/>
    <col min="4" max="4" width="10.57421875" style="93" bestFit="1" customWidth="1"/>
    <col min="5" max="5" width="10.7109375" style="93" customWidth="1"/>
    <col min="6" max="6" width="13.00390625" style="93" bestFit="1" customWidth="1"/>
    <col min="7" max="7" width="16.140625" style="129" customWidth="1"/>
    <col min="8" max="8" width="9.7109375" style="93" customWidth="1"/>
    <col min="9" max="9" width="12.140625" style="93" bestFit="1" customWidth="1"/>
    <col min="10" max="10" width="5.421875" style="93" customWidth="1"/>
    <col min="11" max="11" width="11.421875" style="93" customWidth="1"/>
    <col min="12" max="12" width="11.8515625" style="93" customWidth="1"/>
    <col min="13" max="13" width="11.421875" style="93" customWidth="1"/>
    <col min="14" max="14" width="11.421875" style="93" bestFit="1" customWidth="1"/>
    <col min="15" max="15" width="13.8515625" style="93" customWidth="1"/>
    <col min="16" max="16" width="9.421875" style="93" bestFit="1" customWidth="1"/>
    <col min="17" max="16384" width="11.421875" style="93" customWidth="1"/>
  </cols>
  <sheetData>
    <row r="1" spans="1:7" ht="15" customHeight="1">
      <c r="A1" s="610"/>
      <c r="B1" s="610"/>
      <c r="C1" s="610"/>
      <c r="D1" s="610"/>
      <c r="E1" s="610"/>
      <c r="F1" s="610"/>
      <c r="G1" s="610"/>
    </row>
    <row r="2" spans="1:7" ht="12.75">
      <c r="A2" s="610"/>
      <c r="B2" s="610"/>
      <c r="C2" s="610"/>
      <c r="D2" s="610"/>
      <c r="E2" s="610"/>
      <c r="F2" s="610"/>
      <c r="G2" s="610"/>
    </row>
    <row r="3" spans="1:7" ht="12.75">
      <c r="A3" s="610"/>
      <c r="B3" s="610"/>
      <c r="C3" s="610"/>
      <c r="D3" s="610"/>
      <c r="E3" s="610"/>
      <c r="F3" s="610"/>
      <c r="G3" s="610"/>
    </row>
    <row r="4" spans="1:7" ht="12.75">
      <c r="A4" s="610"/>
      <c r="B4" s="610"/>
      <c r="C4" s="610"/>
      <c r="D4" s="610"/>
      <c r="E4" s="610"/>
      <c r="F4" s="610"/>
      <c r="G4" s="610"/>
    </row>
    <row r="5" spans="1:7" ht="8.25" customHeight="1">
      <c r="A5" s="610"/>
      <c r="B5" s="610"/>
      <c r="C5" s="610"/>
      <c r="D5" s="610"/>
      <c r="E5" s="610"/>
      <c r="F5" s="610"/>
      <c r="G5" s="610"/>
    </row>
    <row r="6" spans="1:7" s="94" customFormat="1" ht="23.25">
      <c r="A6" s="611" t="s">
        <v>31</v>
      </c>
      <c r="B6" s="611"/>
      <c r="C6" s="611"/>
      <c r="D6" s="611"/>
      <c r="E6" s="611"/>
      <c r="F6" s="611"/>
      <c r="G6" s="611"/>
    </row>
    <row r="7" spans="1:7" ht="23.25">
      <c r="A7" s="611" t="s">
        <v>84</v>
      </c>
      <c r="B7" s="611"/>
      <c r="C7" s="611"/>
      <c r="D7" s="611"/>
      <c r="E7" s="611"/>
      <c r="F7" s="611"/>
      <c r="G7" s="611"/>
    </row>
    <row r="8" spans="1:7" ht="8.45" customHeight="1">
      <c r="A8" s="612"/>
      <c r="B8" s="612"/>
      <c r="C8" s="612"/>
      <c r="D8" s="612"/>
      <c r="E8" s="612"/>
      <c r="F8" s="612"/>
      <c r="G8" s="612"/>
    </row>
    <row r="9" spans="1:7" ht="21" customHeight="1">
      <c r="A9" s="613" t="s">
        <v>180</v>
      </c>
      <c r="B9" s="613"/>
      <c r="C9" s="613"/>
      <c r="D9" s="613"/>
      <c r="E9" s="613"/>
      <c r="F9" s="613"/>
      <c r="G9" s="613"/>
    </row>
    <row r="10" spans="1:7" ht="14.25" customHeight="1">
      <c r="A10" s="613"/>
      <c r="B10" s="613"/>
      <c r="C10" s="613"/>
      <c r="D10" s="613"/>
      <c r="E10" s="613"/>
      <c r="F10" s="613"/>
      <c r="G10" s="613"/>
    </row>
    <row r="11" spans="1:7" ht="14.25" customHeight="1">
      <c r="A11" s="242" t="s">
        <v>85</v>
      </c>
      <c r="B11" s="614">
        <v>0.8731</v>
      </c>
      <c r="C11" s="615"/>
      <c r="D11" s="615"/>
      <c r="E11" s="242" t="s">
        <v>86</v>
      </c>
      <c r="F11" s="616">
        <v>0.25</v>
      </c>
      <c r="G11" s="615"/>
    </row>
    <row r="12" spans="1:7" ht="14.25" customHeight="1">
      <c r="A12" s="613"/>
      <c r="B12" s="613"/>
      <c r="C12" s="613"/>
      <c r="D12" s="613"/>
      <c r="E12" s="613"/>
      <c r="F12" s="613"/>
      <c r="G12" s="613"/>
    </row>
    <row r="13" spans="1:7" ht="15" customHeight="1">
      <c r="A13" s="617" t="s">
        <v>165</v>
      </c>
      <c r="B13" s="617"/>
      <c r="C13" s="617"/>
      <c r="D13" s="617"/>
      <c r="E13" s="617"/>
      <c r="F13" s="617"/>
      <c r="G13" s="617"/>
    </row>
    <row r="14" spans="1:14" ht="15.75">
      <c r="A14" s="618" t="s">
        <v>177</v>
      </c>
      <c r="B14" s="618"/>
      <c r="C14" s="618"/>
      <c r="D14" s="618"/>
      <c r="E14" s="618"/>
      <c r="F14" s="618"/>
      <c r="G14" s="618"/>
      <c r="H14" s="95"/>
      <c r="I14" s="95"/>
      <c r="J14" s="95"/>
      <c r="K14" s="95"/>
      <c r="L14" s="95"/>
      <c r="M14" s="95"/>
      <c r="N14" s="95"/>
    </row>
    <row r="15" spans="1:14" ht="15">
      <c r="A15" s="609"/>
      <c r="B15" s="609"/>
      <c r="C15" s="609"/>
      <c r="D15" s="609"/>
      <c r="E15" s="609"/>
      <c r="F15" s="243" t="s">
        <v>87</v>
      </c>
      <c r="G15" s="244" t="s">
        <v>176</v>
      </c>
      <c r="H15" s="95"/>
      <c r="I15" s="95"/>
      <c r="J15" s="95"/>
      <c r="K15" s="95"/>
      <c r="L15" s="95"/>
      <c r="M15" s="95"/>
      <c r="N15" s="95"/>
    </row>
    <row r="16" spans="1:14" ht="30" customHeight="1" hidden="1">
      <c r="A16" s="607" t="s">
        <v>88</v>
      </c>
      <c r="B16" s="607"/>
      <c r="C16" s="607"/>
      <c r="D16" s="607"/>
      <c r="E16" s="607"/>
      <c r="F16" s="240" t="s">
        <v>89</v>
      </c>
      <c r="G16" s="241" t="s">
        <v>90</v>
      </c>
      <c r="H16" s="95"/>
      <c r="I16" s="95"/>
      <c r="J16" s="95"/>
      <c r="K16" s="95"/>
      <c r="L16" s="95"/>
      <c r="M16" s="95"/>
      <c r="N16" s="95"/>
    </row>
    <row r="17" spans="1:14" ht="24.6" customHeight="1" hidden="1">
      <c r="A17" s="605"/>
      <c r="B17" s="605"/>
      <c r="C17" s="605"/>
      <c r="D17" s="606" t="s">
        <v>91</v>
      </c>
      <c r="E17" s="98"/>
      <c r="F17" s="99"/>
      <c r="G17" s="608" t="s">
        <v>92</v>
      </c>
      <c r="H17" s="95"/>
      <c r="I17" s="95"/>
      <c r="J17" s="95"/>
      <c r="K17" s="95"/>
      <c r="L17" s="95"/>
      <c r="M17" s="95"/>
      <c r="N17" s="95"/>
    </row>
    <row r="18" spans="1:14" ht="18.75" customHeight="1" hidden="1">
      <c r="A18" s="100" t="s">
        <v>93</v>
      </c>
      <c r="B18" s="98" t="s">
        <v>94</v>
      </c>
      <c r="C18" s="100" t="s">
        <v>95</v>
      </c>
      <c r="D18" s="606"/>
      <c r="E18" s="100" t="s">
        <v>96</v>
      </c>
      <c r="F18" s="101" t="s">
        <v>97</v>
      </c>
      <c r="G18" s="608"/>
      <c r="H18" s="95"/>
      <c r="I18" s="95"/>
      <c r="J18" s="95"/>
      <c r="K18" s="95"/>
      <c r="L18" s="95"/>
      <c r="M18" s="95"/>
      <c r="N18" s="95"/>
    </row>
    <row r="19" spans="1:14" ht="13.5" customHeight="1" hidden="1">
      <c r="A19" s="588" t="s">
        <v>98</v>
      </c>
      <c r="B19" s="588"/>
      <c r="C19" s="588"/>
      <c r="D19" s="588"/>
      <c r="E19" s="588"/>
      <c r="F19" s="102"/>
      <c r="G19" s="103"/>
      <c r="H19" s="95" t="s">
        <v>28</v>
      </c>
      <c r="I19" s="95" t="s">
        <v>99</v>
      </c>
      <c r="J19" s="95">
        <v>1.3</v>
      </c>
      <c r="K19" s="95"/>
      <c r="L19" s="95"/>
      <c r="M19" s="95"/>
      <c r="N19" s="95"/>
    </row>
    <row r="20" spans="1:14" ht="15.75" customHeight="1" hidden="1">
      <c r="A20" s="104"/>
      <c r="B20" s="104"/>
      <c r="C20" s="104"/>
      <c r="D20" s="104"/>
      <c r="E20" s="104"/>
      <c r="F20" s="105"/>
      <c r="G20" s="106"/>
      <c r="H20" s="95"/>
      <c r="I20" s="95"/>
      <c r="J20" s="95"/>
      <c r="K20" s="95"/>
      <c r="L20" s="95"/>
      <c r="M20" s="95"/>
      <c r="N20" s="95"/>
    </row>
    <row r="21" spans="1:14" ht="12.75" hidden="1">
      <c r="A21" s="107" t="s">
        <v>100</v>
      </c>
      <c r="B21" s="107"/>
      <c r="C21" s="107"/>
      <c r="D21" s="107"/>
      <c r="E21" s="107"/>
      <c r="F21" s="108"/>
      <c r="G21" s="109"/>
      <c r="H21" s="95"/>
      <c r="I21" s="95"/>
      <c r="J21" s="95"/>
      <c r="K21" s="95"/>
      <c r="L21" s="95"/>
      <c r="M21" s="95"/>
      <c r="N21" s="95"/>
    </row>
    <row r="22" spans="1:14" ht="12.75" hidden="1">
      <c r="A22" s="107"/>
      <c r="B22" s="107"/>
      <c r="C22" s="107"/>
      <c r="D22" s="107"/>
      <c r="E22" s="107"/>
      <c r="F22" s="110">
        <f>SUM(E23:E24)</f>
        <v>84</v>
      </c>
      <c r="G22" s="109"/>
      <c r="H22" s="95"/>
      <c r="I22" s="95"/>
      <c r="J22" s="95"/>
      <c r="K22" s="95"/>
      <c r="L22" s="95"/>
      <c r="M22" s="95"/>
      <c r="N22" s="95"/>
    </row>
    <row r="23" spans="1:14" ht="12.75" hidden="1">
      <c r="A23" s="111" t="s">
        <v>101</v>
      </c>
      <c r="B23" s="112" t="s">
        <v>102</v>
      </c>
      <c r="C23" s="113">
        <v>4</v>
      </c>
      <c r="D23" s="113">
        <v>9.93</v>
      </c>
      <c r="E23" s="113">
        <f>ROUND(C23*D23,2)</f>
        <v>39.72</v>
      </c>
      <c r="F23" s="108"/>
      <c r="G23" s="109">
        <v>2436</v>
      </c>
      <c r="H23" s="114">
        <v>9.94</v>
      </c>
      <c r="I23" s="115">
        <f>H23*J19</f>
        <v>12.922</v>
      </c>
      <c r="J23" s="95"/>
      <c r="L23" s="95"/>
      <c r="M23" s="95"/>
      <c r="N23" s="95"/>
    </row>
    <row r="24" spans="1:14" ht="12.75" hidden="1">
      <c r="A24" s="111" t="s">
        <v>103</v>
      </c>
      <c r="B24" s="112" t="s">
        <v>102</v>
      </c>
      <c r="C24" s="113">
        <v>6</v>
      </c>
      <c r="D24" s="113">
        <v>7.38</v>
      </c>
      <c r="E24" s="113">
        <f>ROUND(C24*D24,2)</f>
        <v>44.28</v>
      </c>
      <c r="F24" s="108"/>
      <c r="G24" s="109">
        <v>6111</v>
      </c>
      <c r="H24" s="114">
        <v>7.39</v>
      </c>
      <c r="I24" s="115">
        <f>H24*J19</f>
        <v>9.607</v>
      </c>
      <c r="J24" s="95"/>
      <c r="L24" s="95"/>
      <c r="M24" s="95"/>
      <c r="N24" s="95"/>
    </row>
    <row r="25" spans="1:14" ht="12.75" hidden="1">
      <c r="A25" s="111"/>
      <c r="B25" s="112"/>
      <c r="C25" s="113"/>
      <c r="D25" s="113"/>
      <c r="E25" s="113"/>
      <c r="F25" s="108"/>
      <c r="G25" s="109"/>
      <c r="H25" s="114"/>
      <c r="I25" s="116"/>
      <c r="J25" s="95"/>
      <c r="K25" s="117"/>
      <c r="L25" s="95"/>
      <c r="M25" s="95"/>
      <c r="N25" s="95"/>
    </row>
    <row r="26" spans="1:14" ht="12.75" hidden="1">
      <c r="A26" s="594" t="s">
        <v>104</v>
      </c>
      <c r="B26" s="594"/>
      <c r="C26" s="594"/>
      <c r="D26" s="594"/>
      <c r="E26" s="594"/>
      <c r="F26" s="108">
        <f>SUM(E27:E30)</f>
        <v>22.82</v>
      </c>
      <c r="G26" s="109"/>
      <c r="H26" s="114"/>
      <c r="I26" s="116"/>
      <c r="J26" s="95"/>
      <c r="K26" s="117"/>
      <c r="L26" s="95"/>
      <c r="M26" s="95"/>
      <c r="N26" s="95"/>
    </row>
    <row r="27" spans="1:14" ht="25.5" hidden="1">
      <c r="A27" s="111" t="s">
        <v>105</v>
      </c>
      <c r="B27" s="112" t="s">
        <v>106</v>
      </c>
      <c r="C27" s="113">
        <v>6</v>
      </c>
      <c r="D27" s="113">
        <v>1.12</v>
      </c>
      <c r="E27" s="113">
        <f>ROUND(C27*D27,2)</f>
        <v>6.72</v>
      </c>
      <c r="F27" s="108"/>
      <c r="G27" s="109">
        <v>2689</v>
      </c>
      <c r="H27" s="114">
        <v>1.13</v>
      </c>
      <c r="I27" s="115">
        <f>H27*J19</f>
        <v>1.4689999999999999</v>
      </c>
      <c r="J27" s="95"/>
      <c r="K27" s="117"/>
      <c r="L27" s="95"/>
      <c r="M27" s="95"/>
      <c r="N27" s="95"/>
    </row>
    <row r="28" spans="1:14" ht="25.5" hidden="1">
      <c r="A28" s="111" t="s">
        <v>107</v>
      </c>
      <c r="B28" s="112" t="s">
        <v>106</v>
      </c>
      <c r="C28" s="113">
        <v>12</v>
      </c>
      <c r="D28" s="113">
        <v>1</v>
      </c>
      <c r="E28" s="113">
        <f>ROUND(C28*D28,2)</f>
        <v>12</v>
      </c>
      <c r="F28" s="108"/>
      <c r="G28" s="118" t="s">
        <v>108</v>
      </c>
      <c r="H28" s="114">
        <v>1</v>
      </c>
      <c r="I28" s="115">
        <f>H28*J19</f>
        <v>1.3</v>
      </c>
      <c r="J28" s="95"/>
      <c r="K28" s="117"/>
      <c r="L28" s="95"/>
      <c r="M28" s="95"/>
      <c r="N28" s="95"/>
    </row>
    <row r="29" spans="1:14" ht="25.5" hidden="1">
      <c r="A29" s="111" t="s">
        <v>109</v>
      </c>
      <c r="B29" s="112" t="s">
        <v>110</v>
      </c>
      <c r="C29" s="113">
        <v>0.15</v>
      </c>
      <c r="D29" s="113">
        <v>4.85</v>
      </c>
      <c r="E29" s="113">
        <f>ROUND(C29*D29,2)</f>
        <v>0.73</v>
      </c>
      <c r="F29" s="108"/>
      <c r="G29" s="109">
        <v>20111</v>
      </c>
      <c r="H29" s="114">
        <v>4.86</v>
      </c>
      <c r="I29" s="115">
        <f>H29*J19</f>
        <v>6.3180000000000005</v>
      </c>
      <c r="J29" s="95"/>
      <c r="K29" s="117"/>
      <c r="L29" s="95"/>
      <c r="M29" s="95"/>
      <c r="N29" s="95"/>
    </row>
    <row r="30" spans="1:14" ht="12.75" hidden="1">
      <c r="A30" s="111" t="s">
        <v>111</v>
      </c>
      <c r="B30" s="112" t="s">
        <v>110</v>
      </c>
      <c r="C30" s="113">
        <v>1</v>
      </c>
      <c r="D30" s="113">
        <v>3.37</v>
      </c>
      <c r="E30" s="113">
        <f>ROUND(C30*D30,2)</f>
        <v>3.37</v>
      </c>
      <c r="F30" s="108"/>
      <c r="G30" s="109">
        <v>12001</v>
      </c>
      <c r="H30" s="114">
        <v>3.38</v>
      </c>
      <c r="I30" s="115">
        <f>H30*J19</f>
        <v>4.394</v>
      </c>
      <c r="J30" s="95"/>
      <c r="K30" s="117"/>
      <c r="L30" s="95"/>
      <c r="M30" s="95"/>
      <c r="N30" s="95"/>
    </row>
    <row r="31" spans="1:14" ht="12.75" hidden="1">
      <c r="A31" s="119"/>
      <c r="B31" s="120"/>
      <c r="C31" s="121"/>
      <c r="D31" s="122"/>
      <c r="E31" s="121"/>
      <c r="F31" s="108"/>
      <c r="G31" s="109"/>
      <c r="H31" s="114"/>
      <c r="I31" s="116"/>
      <c r="J31" s="95"/>
      <c r="K31" s="117"/>
      <c r="L31" s="95"/>
      <c r="M31" s="95"/>
      <c r="N31" s="95"/>
    </row>
    <row r="32" spans="1:14" ht="12.75" hidden="1">
      <c r="A32" s="123" t="s">
        <v>112</v>
      </c>
      <c r="B32" s="120" t="s">
        <v>113</v>
      </c>
      <c r="C32" s="121"/>
      <c r="D32" s="121"/>
      <c r="E32" s="121">
        <f>C32*D32</f>
        <v>0</v>
      </c>
      <c r="F32" s="108">
        <f>SUM(F26,F22,F20)</f>
        <v>106.82</v>
      </c>
      <c r="G32" s="109"/>
      <c r="H32" s="114"/>
      <c r="I32" s="116"/>
      <c r="J32" s="95"/>
      <c r="K32" s="117"/>
      <c r="L32" s="95"/>
      <c r="M32" s="95"/>
      <c r="N32" s="95"/>
    </row>
    <row r="33" spans="1:14" ht="12.75" hidden="1">
      <c r="A33" s="124"/>
      <c r="B33" s="120"/>
      <c r="C33" s="121"/>
      <c r="D33" s="121"/>
      <c r="E33" s="121">
        <f>C33*D33</f>
        <v>0</v>
      </c>
      <c r="F33" s="108"/>
      <c r="G33" s="109"/>
      <c r="H33" s="114"/>
      <c r="I33" s="116"/>
      <c r="J33" s="95"/>
      <c r="K33" s="117"/>
      <c r="L33" s="95"/>
      <c r="M33" s="95"/>
      <c r="N33" s="95"/>
    </row>
    <row r="34" spans="1:14" ht="12.75" hidden="1">
      <c r="A34" s="123" t="s">
        <v>114</v>
      </c>
      <c r="B34" s="120" t="s">
        <v>113</v>
      </c>
      <c r="C34" s="121"/>
      <c r="D34" s="121"/>
      <c r="E34" s="121">
        <f>C34*D34</f>
        <v>0</v>
      </c>
      <c r="F34" s="108">
        <f>ROUND(F32*F11,2)</f>
        <v>26.71</v>
      </c>
      <c r="G34" s="109"/>
      <c r="H34" s="114"/>
      <c r="I34" s="116"/>
      <c r="J34" s="95"/>
      <c r="K34" s="117"/>
      <c r="L34" s="95"/>
      <c r="M34" s="95"/>
      <c r="N34" s="95"/>
    </row>
    <row r="35" spans="1:14" ht="12.75" hidden="1">
      <c r="A35" s="124"/>
      <c r="B35" s="125"/>
      <c r="C35" s="120"/>
      <c r="D35" s="120"/>
      <c r="E35" s="120"/>
      <c r="F35" s="100"/>
      <c r="G35" s="109"/>
      <c r="H35" s="114"/>
      <c r="I35" s="116"/>
      <c r="J35" s="95"/>
      <c r="K35" s="117"/>
      <c r="L35" s="95"/>
      <c r="M35" s="95"/>
      <c r="N35" s="95"/>
    </row>
    <row r="36" spans="1:14" ht="12.75" hidden="1">
      <c r="A36" s="123" t="s">
        <v>115</v>
      </c>
      <c r="B36" s="125" t="s">
        <v>113</v>
      </c>
      <c r="C36" s="120"/>
      <c r="D36" s="120"/>
      <c r="E36" s="120"/>
      <c r="F36" s="126">
        <f>SUM(F32,F34)</f>
        <v>133.53</v>
      </c>
      <c r="G36" s="109"/>
      <c r="H36" s="114"/>
      <c r="I36" s="116"/>
      <c r="J36" s="95"/>
      <c r="K36" s="117"/>
      <c r="L36" s="95"/>
      <c r="M36" s="95"/>
      <c r="N36" s="95"/>
    </row>
    <row r="37" spans="1:14" ht="12.75" hidden="1">
      <c r="A37" s="127"/>
      <c r="B37" s="127"/>
      <c r="C37" s="127"/>
      <c r="D37" s="127"/>
      <c r="E37" s="127"/>
      <c r="F37" s="127"/>
      <c r="G37" s="128"/>
      <c r="H37" s="114"/>
      <c r="I37" s="116"/>
      <c r="J37" s="95"/>
      <c r="K37" s="117"/>
      <c r="L37" s="95"/>
      <c r="M37" s="95"/>
      <c r="N37" s="95"/>
    </row>
    <row r="38" spans="1:14" ht="43.5" customHeight="1" hidden="1">
      <c r="A38" s="592" t="s">
        <v>116</v>
      </c>
      <c r="B38" s="592"/>
      <c r="C38" s="592"/>
      <c r="D38" s="592"/>
      <c r="E38" s="592"/>
      <c r="F38" s="96" t="s">
        <v>89</v>
      </c>
      <c r="G38" s="97" t="s">
        <v>90</v>
      </c>
      <c r="H38" s="114"/>
      <c r="I38" s="116"/>
      <c r="J38" s="95"/>
      <c r="K38" s="117"/>
      <c r="L38" s="95"/>
      <c r="M38" s="95"/>
      <c r="N38" s="95"/>
    </row>
    <row r="39" spans="1:14" ht="12.75" hidden="1">
      <c r="A39" s="605"/>
      <c r="B39" s="605"/>
      <c r="C39" s="605"/>
      <c r="D39" s="606" t="s">
        <v>91</v>
      </c>
      <c r="E39" s="98"/>
      <c r="F39" s="99"/>
      <c r="G39" s="608" t="s">
        <v>92</v>
      </c>
      <c r="H39" s="114"/>
      <c r="I39" s="116"/>
      <c r="J39" s="95"/>
      <c r="K39" s="117"/>
      <c r="L39" s="95"/>
      <c r="M39" s="95"/>
      <c r="N39" s="95"/>
    </row>
    <row r="40" spans="1:14" ht="15.75" customHeight="1" hidden="1">
      <c r="A40" s="100" t="s">
        <v>93</v>
      </c>
      <c r="B40" s="98" t="s">
        <v>94</v>
      </c>
      <c r="C40" s="100" t="s">
        <v>95</v>
      </c>
      <c r="D40" s="606"/>
      <c r="E40" s="100" t="s">
        <v>96</v>
      </c>
      <c r="F40" s="101" t="s">
        <v>97</v>
      </c>
      <c r="G40" s="608"/>
      <c r="H40" s="114"/>
      <c r="I40" s="116"/>
      <c r="J40" s="95"/>
      <c r="K40" s="117"/>
      <c r="L40" s="95"/>
      <c r="M40" s="95"/>
      <c r="N40" s="95"/>
    </row>
    <row r="41" spans="1:14" ht="12.75" hidden="1">
      <c r="A41" s="588" t="s">
        <v>98</v>
      </c>
      <c r="B41" s="588"/>
      <c r="C41" s="588"/>
      <c r="D41" s="588"/>
      <c r="E41" s="588"/>
      <c r="F41" s="102"/>
      <c r="G41" s="103"/>
      <c r="H41" s="114"/>
      <c r="I41" s="116"/>
      <c r="J41" s="95"/>
      <c r="K41" s="117"/>
      <c r="L41" s="95"/>
      <c r="M41" s="95"/>
      <c r="N41" s="95"/>
    </row>
    <row r="42" spans="1:14" ht="12.75" hidden="1">
      <c r="A42" s="104"/>
      <c r="B42" s="104"/>
      <c r="C42" s="104"/>
      <c r="D42" s="104"/>
      <c r="E42" s="104"/>
      <c r="F42" s="105"/>
      <c r="G42" s="106"/>
      <c r="H42" s="114"/>
      <c r="I42" s="116"/>
      <c r="J42" s="95"/>
      <c r="K42" s="117"/>
      <c r="L42" s="95"/>
      <c r="M42" s="95"/>
      <c r="N42" s="95"/>
    </row>
    <row r="43" spans="1:14" ht="12.75" hidden="1">
      <c r="A43" s="590" t="s">
        <v>100</v>
      </c>
      <c r="B43" s="590"/>
      <c r="C43" s="590"/>
      <c r="D43" s="590"/>
      <c r="E43" s="590"/>
      <c r="F43" s="108"/>
      <c r="G43" s="109"/>
      <c r="H43" s="114"/>
      <c r="I43" s="116"/>
      <c r="J43" s="95"/>
      <c r="K43" s="117"/>
      <c r="L43" s="95"/>
      <c r="M43" s="95"/>
      <c r="N43" s="95"/>
    </row>
    <row r="44" spans="1:14" ht="12.75" hidden="1">
      <c r="A44" s="107"/>
      <c r="B44" s="107"/>
      <c r="C44" s="107"/>
      <c r="D44" s="107"/>
      <c r="E44" s="107"/>
      <c r="F44" s="110">
        <f>SUM(E45:E46)</f>
        <v>61.86</v>
      </c>
      <c r="G44" s="109"/>
      <c r="H44" s="95"/>
      <c r="I44" s="95"/>
      <c r="J44" s="95"/>
      <c r="K44" s="95"/>
      <c r="L44" s="95"/>
      <c r="M44" s="95"/>
      <c r="N44" s="95"/>
    </row>
    <row r="45" spans="1:14" ht="12.75" hidden="1">
      <c r="A45" s="111" t="s">
        <v>101</v>
      </c>
      <c r="B45" s="112" t="s">
        <v>102</v>
      </c>
      <c r="C45" s="113">
        <v>4</v>
      </c>
      <c r="D45" s="113">
        <f>D23</f>
        <v>9.93</v>
      </c>
      <c r="E45" s="113">
        <f>ROUND(C45*D45,2)</f>
        <v>39.72</v>
      </c>
      <c r="F45" s="108"/>
      <c r="G45" s="109">
        <v>2436</v>
      </c>
      <c r="H45" s="95"/>
      <c r="I45" s="95"/>
      <c r="J45" s="95"/>
      <c r="K45" s="95"/>
      <c r="L45" s="95"/>
      <c r="M45" s="95"/>
      <c r="N45" s="95"/>
    </row>
    <row r="46" spans="1:14" ht="12.75" hidden="1">
      <c r="A46" s="111" t="s">
        <v>103</v>
      </c>
      <c r="B46" s="112" t="s">
        <v>102</v>
      </c>
      <c r="C46" s="113">
        <v>3</v>
      </c>
      <c r="D46" s="113">
        <f>D24</f>
        <v>7.38</v>
      </c>
      <c r="E46" s="113">
        <f>ROUND(C46*D46,2)</f>
        <v>22.14</v>
      </c>
      <c r="F46" s="108"/>
      <c r="G46" s="109">
        <v>6111</v>
      </c>
      <c r="H46" s="95"/>
      <c r="I46" s="95"/>
      <c r="J46" s="95"/>
      <c r="K46" s="95"/>
      <c r="L46" s="95"/>
      <c r="M46" s="95"/>
      <c r="N46" s="95"/>
    </row>
    <row r="47" spans="1:14" ht="12.75" hidden="1">
      <c r="A47" s="111"/>
      <c r="B47" s="112"/>
      <c r="C47" s="113"/>
      <c r="D47" s="113"/>
      <c r="E47" s="113"/>
      <c r="F47" s="108"/>
      <c r="G47" s="109"/>
      <c r="H47" s="95"/>
      <c r="I47" s="95"/>
      <c r="J47" s="95"/>
      <c r="K47" s="95"/>
      <c r="L47" s="95"/>
      <c r="M47" s="95"/>
      <c r="N47" s="95"/>
    </row>
    <row r="48" spans="1:14" ht="12.75" hidden="1">
      <c r="A48" s="594" t="s">
        <v>104</v>
      </c>
      <c r="B48" s="594"/>
      <c r="C48" s="594"/>
      <c r="D48" s="594"/>
      <c r="E48" s="594"/>
      <c r="F48" s="108">
        <f>SUM(E49:E53)</f>
        <v>38.42</v>
      </c>
      <c r="G48" s="109"/>
      <c r="H48" s="95"/>
      <c r="I48" s="95"/>
      <c r="J48" s="95"/>
      <c r="K48" s="95"/>
      <c r="L48" s="95"/>
      <c r="M48" s="95"/>
      <c r="N48" s="95"/>
    </row>
    <row r="49" spans="1:14" ht="25.5" hidden="1">
      <c r="A49" s="111" t="s">
        <v>105</v>
      </c>
      <c r="B49" s="112" t="s">
        <v>106</v>
      </c>
      <c r="C49" s="113">
        <v>6</v>
      </c>
      <c r="D49" s="113">
        <f>D27</f>
        <v>1.12</v>
      </c>
      <c r="E49" s="113">
        <f>ROUND(C49*D49,2)</f>
        <v>6.72</v>
      </c>
      <c r="F49" s="108"/>
      <c r="G49" s="109">
        <v>2689</v>
      </c>
      <c r="H49" s="95"/>
      <c r="I49" s="95"/>
      <c r="J49" s="95"/>
      <c r="K49" s="95"/>
      <c r="L49" s="95"/>
      <c r="M49" s="95"/>
      <c r="N49" s="95"/>
    </row>
    <row r="50" spans="1:14" ht="31.5" customHeight="1" hidden="1">
      <c r="A50" s="111" t="s">
        <v>107</v>
      </c>
      <c r="B50" s="112" t="s">
        <v>106</v>
      </c>
      <c r="C50" s="113">
        <v>18</v>
      </c>
      <c r="D50" s="113">
        <f aca="true" t="shared" si="0" ref="D50:D51">D28</f>
        <v>1</v>
      </c>
      <c r="E50" s="113">
        <f>ROUND(C50*D50,2)</f>
        <v>18</v>
      </c>
      <c r="F50" s="108"/>
      <c r="G50" s="118" t="s">
        <v>108</v>
      </c>
      <c r="H50" s="95"/>
      <c r="I50" s="95"/>
      <c r="J50" s="95"/>
      <c r="K50" s="95"/>
      <c r="L50" s="95"/>
      <c r="M50" s="95"/>
      <c r="N50" s="95"/>
    </row>
    <row r="51" spans="1:14" ht="25.5" hidden="1">
      <c r="A51" s="111" t="s">
        <v>109</v>
      </c>
      <c r="B51" s="112" t="s">
        <v>110</v>
      </c>
      <c r="C51" s="113">
        <v>0.15</v>
      </c>
      <c r="D51" s="113">
        <f t="shared" si="0"/>
        <v>4.85</v>
      </c>
      <c r="E51" s="113">
        <f>ROUND(C51*D51,2)</f>
        <v>0.73</v>
      </c>
      <c r="F51" s="108"/>
      <c r="G51" s="109">
        <v>20111</v>
      </c>
      <c r="H51" s="95"/>
      <c r="I51" s="95"/>
      <c r="J51" s="95"/>
      <c r="K51" s="95"/>
      <c r="L51" s="95"/>
      <c r="M51" s="95"/>
      <c r="N51" s="95"/>
    </row>
    <row r="52" spans="1:14" ht="12.75" hidden="1">
      <c r="A52" s="111" t="s">
        <v>117</v>
      </c>
      <c r="B52" s="112" t="s">
        <v>110</v>
      </c>
      <c r="C52" s="113">
        <v>1</v>
      </c>
      <c r="D52" s="113">
        <v>1.27</v>
      </c>
      <c r="E52" s="113">
        <f>ROUND(C52*D52,2)</f>
        <v>1.27</v>
      </c>
      <c r="F52" s="108"/>
      <c r="G52" s="109">
        <v>1872</v>
      </c>
      <c r="H52" s="95">
        <v>1.29</v>
      </c>
      <c r="I52" s="95">
        <f>H52*J19</f>
        <v>1.677</v>
      </c>
      <c r="J52" s="95"/>
      <c r="K52" s="95"/>
      <c r="L52" s="95"/>
      <c r="M52" s="95"/>
      <c r="N52" s="95"/>
    </row>
    <row r="53" spans="1:14" ht="25.5" hidden="1">
      <c r="A53" s="111" t="s">
        <v>118</v>
      </c>
      <c r="B53" s="112" t="s">
        <v>110</v>
      </c>
      <c r="C53" s="113">
        <v>1</v>
      </c>
      <c r="D53" s="113">
        <v>11.7</v>
      </c>
      <c r="E53" s="113">
        <f>ROUND(C53*D53,2)</f>
        <v>11.7</v>
      </c>
      <c r="F53" s="108"/>
      <c r="G53" s="109">
        <v>7529</v>
      </c>
      <c r="H53" s="95">
        <v>11.71</v>
      </c>
      <c r="I53" s="95">
        <f>H53*J19</f>
        <v>15.223</v>
      </c>
      <c r="J53" s="95"/>
      <c r="K53" s="95"/>
      <c r="L53" s="95"/>
      <c r="M53" s="95"/>
      <c r="N53" s="95"/>
    </row>
    <row r="54" spans="1:14" ht="12.75" hidden="1">
      <c r="A54" s="119"/>
      <c r="B54" s="120"/>
      <c r="C54" s="121"/>
      <c r="D54" s="122"/>
      <c r="E54" s="121"/>
      <c r="F54" s="108"/>
      <c r="G54" s="109"/>
      <c r="H54" s="95"/>
      <c r="I54" s="95"/>
      <c r="J54" s="95"/>
      <c r="K54" s="95"/>
      <c r="L54" s="95"/>
      <c r="M54" s="95"/>
      <c r="N54" s="95"/>
    </row>
    <row r="55" spans="1:14" ht="12.75" hidden="1">
      <c r="A55" s="123" t="s">
        <v>112</v>
      </c>
      <c r="B55" s="120" t="s">
        <v>113</v>
      </c>
      <c r="C55" s="121"/>
      <c r="D55" s="121"/>
      <c r="E55" s="121">
        <f>C55*D55</f>
        <v>0</v>
      </c>
      <c r="F55" s="108">
        <f>SUM(F48,F44,F42)</f>
        <v>100.28</v>
      </c>
      <c r="G55" s="109"/>
      <c r="H55" s="95"/>
      <c r="I55" s="95"/>
      <c r="J55" s="95"/>
      <c r="K55" s="95"/>
      <c r="L55" s="95"/>
      <c r="M55" s="95"/>
      <c r="N55" s="95"/>
    </row>
    <row r="56" spans="1:14" ht="12.75" hidden="1">
      <c r="A56" s="124"/>
      <c r="B56" s="120"/>
      <c r="C56" s="121"/>
      <c r="D56" s="121"/>
      <c r="E56" s="121">
        <f>C56*D56</f>
        <v>0</v>
      </c>
      <c r="F56" s="108"/>
      <c r="G56" s="109"/>
      <c r="H56" s="95"/>
      <c r="I56" s="95"/>
      <c r="J56" s="95"/>
      <c r="K56" s="95"/>
      <c r="L56" s="95"/>
      <c r="M56" s="95"/>
      <c r="N56" s="95"/>
    </row>
    <row r="57" spans="1:14" ht="12.75" hidden="1">
      <c r="A57" s="123" t="s">
        <v>114</v>
      </c>
      <c r="B57" s="120" t="s">
        <v>113</v>
      </c>
      <c r="C57" s="121"/>
      <c r="D57" s="121"/>
      <c r="E57" s="121">
        <f>C57*D57</f>
        <v>0</v>
      </c>
      <c r="F57" s="108">
        <f>ROUND(F55*F11,2)</f>
        <v>25.07</v>
      </c>
      <c r="G57" s="109"/>
      <c r="H57" s="95"/>
      <c r="I57" s="95"/>
      <c r="J57" s="95"/>
      <c r="K57" s="95"/>
      <c r="L57" s="95"/>
      <c r="M57" s="95"/>
      <c r="N57" s="95"/>
    </row>
    <row r="58" spans="1:14" ht="12.75" hidden="1">
      <c r="A58" s="124"/>
      <c r="B58" s="125"/>
      <c r="C58" s="120"/>
      <c r="D58" s="120"/>
      <c r="E58" s="120"/>
      <c r="F58" s="100"/>
      <c r="G58" s="109"/>
      <c r="H58" s="95"/>
      <c r="I58" s="95"/>
      <c r="J58" s="95"/>
      <c r="K58" s="95"/>
      <c r="L58" s="95"/>
      <c r="M58" s="95"/>
      <c r="N58" s="95"/>
    </row>
    <row r="59" spans="1:14" ht="12.75" hidden="1">
      <c r="A59" s="123" t="s">
        <v>115</v>
      </c>
      <c r="B59" s="125" t="s">
        <v>113</v>
      </c>
      <c r="C59" s="120"/>
      <c r="D59" s="120"/>
      <c r="E59" s="120"/>
      <c r="F59" s="126">
        <f>SUM(F55,F57)</f>
        <v>125.35</v>
      </c>
      <c r="G59" s="109"/>
      <c r="H59" s="95"/>
      <c r="I59" s="95"/>
      <c r="J59" s="95"/>
      <c r="K59" s="95"/>
      <c r="L59" s="95"/>
      <c r="M59" s="95"/>
      <c r="N59" s="95"/>
    </row>
    <row r="60" spans="1:14" ht="12.75" hidden="1">
      <c r="A60" s="127"/>
      <c r="B60" s="127"/>
      <c r="C60" s="127"/>
      <c r="D60" s="127"/>
      <c r="E60" s="127"/>
      <c r="F60" s="127"/>
      <c r="G60" s="128"/>
      <c r="H60" s="95"/>
      <c r="I60" s="95"/>
      <c r="J60" s="95"/>
      <c r="K60" s="95"/>
      <c r="L60" s="95"/>
      <c r="M60" s="95"/>
      <c r="N60" s="95"/>
    </row>
    <row r="61" spans="8:14" ht="13.5" thickBot="1">
      <c r="H61" s="95"/>
      <c r="I61" s="95"/>
      <c r="J61" s="95"/>
      <c r="K61" s="95"/>
      <c r="L61" s="95"/>
      <c r="M61" s="95"/>
      <c r="N61" s="95"/>
    </row>
    <row r="62" spans="1:14" ht="39.75" customHeight="1" thickBot="1">
      <c r="A62" s="595" t="s">
        <v>161</v>
      </c>
      <c r="B62" s="596"/>
      <c r="C62" s="596"/>
      <c r="D62" s="596"/>
      <c r="E62" s="597"/>
      <c r="F62" s="130" t="s">
        <v>89</v>
      </c>
      <c r="G62" s="131" t="s">
        <v>119</v>
      </c>
      <c r="H62" s="95"/>
      <c r="I62" s="95"/>
      <c r="J62" s="95"/>
      <c r="K62" s="95"/>
      <c r="L62" s="95"/>
      <c r="M62" s="95"/>
      <c r="N62" s="95"/>
    </row>
    <row r="63" spans="1:14" ht="12.75" customHeight="1" thickBot="1">
      <c r="A63" s="598"/>
      <c r="B63" s="599"/>
      <c r="C63" s="599"/>
      <c r="D63" s="600" t="s">
        <v>91</v>
      </c>
      <c r="E63" s="132"/>
      <c r="F63" s="133"/>
      <c r="G63" s="585" t="s">
        <v>92</v>
      </c>
      <c r="H63" s="95"/>
      <c r="I63" s="95"/>
      <c r="J63" s="95"/>
      <c r="K63" s="95"/>
      <c r="L63" s="95"/>
      <c r="M63" s="95"/>
      <c r="N63" s="95"/>
    </row>
    <row r="64" spans="1:14" ht="13.5" customHeight="1">
      <c r="A64" s="134" t="s">
        <v>93</v>
      </c>
      <c r="B64" s="135" t="s">
        <v>94</v>
      </c>
      <c r="C64" s="134" t="s">
        <v>95</v>
      </c>
      <c r="D64" s="600"/>
      <c r="E64" s="134" t="s">
        <v>96</v>
      </c>
      <c r="F64" s="136" t="s">
        <v>97</v>
      </c>
      <c r="G64" s="586"/>
      <c r="H64" s="95"/>
      <c r="I64" s="95"/>
      <c r="J64" s="95"/>
      <c r="K64" s="95"/>
      <c r="L64" s="95"/>
      <c r="M64" s="95"/>
      <c r="N64" s="95"/>
    </row>
    <row r="65" spans="1:14" ht="15" customHeight="1">
      <c r="A65" s="587" t="s">
        <v>98</v>
      </c>
      <c r="B65" s="588"/>
      <c r="C65" s="588"/>
      <c r="D65" s="588"/>
      <c r="E65" s="588"/>
      <c r="F65" s="102"/>
      <c r="G65" s="216"/>
      <c r="H65" s="95"/>
      <c r="I65" s="95"/>
      <c r="J65" s="95"/>
      <c r="K65" s="95"/>
      <c r="L65" s="95"/>
      <c r="M65" s="95"/>
      <c r="N65" s="95"/>
    </row>
    <row r="66" spans="1:14" ht="12.75">
      <c r="A66" s="217"/>
      <c r="B66" s="203"/>
      <c r="C66" s="203"/>
      <c r="D66" s="203"/>
      <c r="E66" s="203"/>
      <c r="F66" s="105">
        <f>E67</f>
        <v>8.715000000000002</v>
      </c>
      <c r="G66" s="218"/>
      <c r="H66" s="95"/>
      <c r="I66" s="95"/>
      <c r="J66" s="95"/>
      <c r="K66" s="95"/>
      <c r="L66" s="95"/>
      <c r="M66" s="95"/>
      <c r="N66" s="95"/>
    </row>
    <row r="67" spans="1:14" ht="25.5">
      <c r="A67" s="219" t="s">
        <v>120</v>
      </c>
      <c r="B67" s="112" t="s">
        <v>102</v>
      </c>
      <c r="C67" s="185">
        <v>4.15</v>
      </c>
      <c r="D67" s="185">
        <v>2.1</v>
      </c>
      <c r="E67" s="185">
        <f>C67*D67</f>
        <v>8.715000000000002</v>
      </c>
      <c r="F67" s="185"/>
      <c r="G67" s="220">
        <v>10532</v>
      </c>
      <c r="H67" s="95"/>
      <c r="I67" s="95"/>
      <c r="J67" s="95"/>
      <c r="K67" s="95"/>
      <c r="L67" s="95"/>
      <c r="M67" s="95"/>
      <c r="N67" s="95"/>
    </row>
    <row r="68" spans="1:14" ht="14.25" customHeight="1">
      <c r="A68" s="221"/>
      <c r="B68" s="186"/>
      <c r="C68" s="186"/>
      <c r="D68" s="186"/>
      <c r="E68" s="186"/>
      <c r="F68" s="186"/>
      <c r="G68" s="222"/>
      <c r="H68" s="95"/>
      <c r="I68" s="95"/>
      <c r="J68" s="95"/>
      <c r="K68" s="95"/>
      <c r="L68" s="95"/>
      <c r="M68" s="95"/>
      <c r="N68" s="95"/>
    </row>
    <row r="69" spans="1:14" ht="12.75">
      <c r="A69" s="602" t="s">
        <v>100</v>
      </c>
      <c r="B69" s="603"/>
      <c r="C69" s="603"/>
      <c r="D69" s="603"/>
      <c r="E69" s="603"/>
      <c r="F69" s="187"/>
      <c r="G69" s="220"/>
      <c r="H69" s="95"/>
      <c r="I69" s="95"/>
      <c r="J69" s="95"/>
      <c r="K69" s="95"/>
      <c r="L69" s="95"/>
      <c r="M69" s="95"/>
      <c r="N69" s="95"/>
    </row>
    <row r="70" spans="1:14" ht="12.75">
      <c r="A70" s="223"/>
      <c r="B70" s="205"/>
      <c r="C70" s="205"/>
      <c r="D70" s="205"/>
      <c r="E70" s="205"/>
      <c r="F70" s="188">
        <f>SUM(E71:E74)</f>
        <v>367.02</v>
      </c>
      <c r="G70" s="220"/>
      <c r="H70" s="95"/>
      <c r="I70" s="95"/>
      <c r="J70" s="95"/>
      <c r="K70" s="95"/>
      <c r="L70" s="95"/>
      <c r="M70" s="95"/>
      <c r="N70" s="95"/>
    </row>
    <row r="71" spans="1:14" ht="12.75">
      <c r="A71" s="224" t="s">
        <v>121</v>
      </c>
      <c r="B71" s="112" t="s">
        <v>102</v>
      </c>
      <c r="C71" s="113">
        <v>5.5</v>
      </c>
      <c r="D71" s="113">
        <v>8.6</v>
      </c>
      <c r="E71" s="113">
        <f>ROUND(C71*D71,2)</f>
        <v>47.3</v>
      </c>
      <c r="F71" s="187"/>
      <c r="G71" s="225" t="s">
        <v>122</v>
      </c>
      <c r="H71" s="95"/>
      <c r="I71" s="95"/>
      <c r="J71" s="95"/>
      <c r="K71" s="95"/>
      <c r="L71" s="95"/>
      <c r="M71" s="95"/>
      <c r="N71" s="95"/>
    </row>
    <row r="72" spans="1:14" ht="12.75">
      <c r="A72" s="224" t="s">
        <v>123</v>
      </c>
      <c r="B72" s="112" t="s">
        <v>102</v>
      </c>
      <c r="C72" s="113">
        <v>12</v>
      </c>
      <c r="D72" s="113">
        <v>8.6</v>
      </c>
      <c r="E72" s="113">
        <f>ROUND(C72*D72,2)</f>
        <v>103.2</v>
      </c>
      <c r="F72" s="187"/>
      <c r="G72" s="220">
        <v>1213</v>
      </c>
      <c r="H72" s="95"/>
      <c r="I72" s="95"/>
      <c r="J72" s="95"/>
      <c r="K72" s="95"/>
      <c r="L72" s="95"/>
      <c r="M72" s="95"/>
      <c r="N72" s="95"/>
    </row>
    <row r="73" spans="1:14" ht="12.75">
      <c r="A73" s="224" t="s">
        <v>124</v>
      </c>
      <c r="B73" s="112" t="s">
        <v>102</v>
      </c>
      <c r="C73" s="113">
        <v>4</v>
      </c>
      <c r="D73" s="113">
        <f>D72</f>
        <v>8.6</v>
      </c>
      <c r="E73" s="113">
        <f>ROUND(C73*D73,2)</f>
        <v>34.4</v>
      </c>
      <c r="F73" s="187"/>
      <c r="G73" s="220">
        <v>4750</v>
      </c>
      <c r="H73" s="95"/>
      <c r="I73" s="95"/>
      <c r="J73" s="95"/>
      <c r="K73" s="95"/>
      <c r="L73" s="95"/>
      <c r="M73" s="95"/>
      <c r="N73" s="95"/>
    </row>
    <row r="74" spans="1:14" ht="12.75">
      <c r="A74" s="224" t="s">
        <v>103</v>
      </c>
      <c r="B74" s="112" t="s">
        <v>102</v>
      </c>
      <c r="C74" s="113">
        <v>28.5</v>
      </c>
      <c r="D74" s="113">
        <v>6.39</v>
      </c>
      <c r="E74" s="113">
        <f>ROUND(C74*D74,2)</f>
        <v>182.12</v>
      </c>
      <c r="F74" s="187"/>
      <c r="G74" s="220">
        <v>6111</v>
      </c>
      <c r="H74" s="95"/>
      <c r="I74" s="95"/>
      <c r="J74" s="95"/>
      <c r="K74" s="95"/>
      <c r="L74" s="95"/>
      <c r="M74" s="95"/>
      <c r="N74" s="95"/>
    </row>
    <row r="75" spans="1:14" ht="12.75">
      <c r="A75" s="224"/>
      <c r="B75" s="112"/>
      <c r="C75" s="113"/>
      <c r="D75" s="113"/>
      <c r="E75" s="113"/>
      <c r="F75" s="187"/>
      <c r="G75" s="220"/>
      <c r="H75" s="95"/>
      <c r="I75" s="95"/>
      <c r="J75" s="95"/>
      <c r="K75" s="95"/>
      <c r="L75" s="95"/>
      <c r="M75" s="95"/>
      <c r="N75" s="95"/>
    </row>
    <row r="76" spans="1:14" ht="12.75">
      <c r="A76" s="593" t="s">
        <v>104</v>
      </c>
      <c r="B76" s="594"/>
      <c r="C76" s="594"/>
      <c r="D76" s="594"/>
      <c r="E76" s="594"/>
      <c r="F76" s="187">
        <f>SUM(E78:E88)</f>
        <v>671.9999999999999</v>
      </c>
      <c r="G76" s="220"/>
      <c r="H76" s="95"/>
      <c r="I76" s="95"/>
      <c r="J76" s="95"/>
      <c r="K76" s="95"/>
      <c r="L76" s="95"/>
      <c r="M76" s="95"/>
      <c r="N76" s="95"/>
    </row>
    <row r="77" spans="1:14" ht="12" customHeight="1">
      <c r="A77" s="224"/>
      <c r="B77" s="112"/>
      <c r="C77" s="113"/>
      <c r="D77" s="113"/>
      <c r="E77" s="113"/>
      <c r="F77" s="187"/>
      <c r="G77" s="220"/>
      <c r="H77" s="95"/>
      <c r="I77" s="95"/>
      <c r="J77" s="95"/>
      <c r="K77" s="95"/>
      <c r="L77" s="95"/>
      <c r="M77" s="95"/>
      <c r="N77" s="95"/>
    </row>
    <row r="78" spans="1:14" ht="12.75">
      <c r="A78" s="224" t="s">
        <v>158</v>
      </c>
      <c r="B78" s="112" t="s">
        <v>126</v>
      </c>
      <c r="C78" s="113">
        <v>60</v>
      </c>
      <c r="D78" s="113">
        <v>4.69</v>
      </c>
      <c r="E78" s="113">
        <f>ROUND(C78*D78,2)</f>
        <v>281.4</v>
      </c>
      <c r="F78" s="187"/>
      <c r="G78" s="220" t="s">
        <v>159</v>
      </c>
      <c r="H78" s="95"/>
      <c r="I78" s="95"/>
      <c r="J78" s="95"/>
      <c r="K78" s="95"/>
      <c r="L78" s="95"/>
      <c r="M78" s="95"/>
      <c r="N78" s="95"/>
    </row>
    <row r="79" spans="1:14" ht="25.5">
      <c r="A79" s="224" t="s">
        <v>127</v>
      </c>
      <c r="B79" s="112" t="s">
        <v>128</v>
      </c>
      <c r="C79" s="113">
        <v>2.25</v>
      </c>
      <c r="D79" s="113">
        <v>9</v>
      </c>
      <c r="E79" s="113">
        <f aca="true" t="shared" si="1" ref="E79:E88">ROUND(C79*D79,2)</f>
        <v>20.25</v>
      </c>
      <c r="F79" s="187"/>
      <c r="G79" s="225" t="s">
        <v>129</v>
      </c>
      <c r="H79" s="95"/>
      <c r="I79" s="95"/>
      <c r="J79" s="95"/>
      <c r="K79" s="95"/>
      <c r="L79" s="95"/>
      <c r="M79" s="95"/>
      <c r="N79" s="95"/>
    </row>
    <row r="80" spans="1:14" ht="12.75">
      <c r="A80" s="224" t="s">
        <v>130</v>
      </c>
      <c r="B80" s="112" t="s">
        <v>131</v>
      </c>
      <c r="C80" s="113">
        <v>0.85</v>
      </c>
      <c r="D80" s="113">
        <v>53.5</v>
      </c>
      <c r="E80" s="113">
        <f t="shared" si="1"/>
        <v>45.48</v>
      </c>
      <c r="F80" s="187"/>
      <c r="G80" s="225" t="s">
        <v>132</v>
      </c>
      <c r="H80" s="95"/>
      <c r="I80" s="95"/>
      <c r="J80" s="95"/>
      <c r="K80" s="95"/>
      <c r="L80" s="95"/>
      <c r="M80" s="95"/>
      <c r="N80" s="95"/>
    </row>
    <row r="81" spans="1:14" ht="12.75">
      <c r="A81" s="224" t="s">
        <v>133</v>
      </c>
      <c r="B81" s="112" t="s">
        <v>131</v>
      </c>
      <c r="C81" s="113">
        <v>0.2</v>
      </c>
      <c r="D81" s="113">
        <v>98.36</v>
      </c>
      <c r="E81" s="113">
        <f t="shared" si="1"/>
        <v>19.67</v>
      </c>
      <c r="F81" s="187"/>
      <c r="G81" s="220">
        <v>4721</v>
      </c>
      <c r="H81" s="95"/>
      <c r="I81" s="95"/>
      <c r="J81" s="95"/>
      <c r="K81" s="95"/>
      <c r="L81" s="95"/>
      <c r="M81" s="95"/>
      <c r="N81" s="95"/>
    </row>
    <row r="82" spans="1:14" ht="12.75">
      <c r="A82" s="224" t="s">
        <v>134</v>
      </c>
      <c r="B82" s="112" t="s">
        <v>131</v>
      </c>
      <c r="C82" s="113">
        <v>0.56</v>
      </c>
      <c r="D82" s="113">
        <v>95</v>
      </c>
      <c r="E82" s="113">
        <f t="shared" si="1"/>
        <v>53.2</v>
      </c>
      <c r="F82" s="187"/>
      <c r="G82" s="220">
        <v>4718</v>
      </c>
      <c r="H82" s="95"/>
      <c r="I82" s="95"/>
      <c r="J82" s="95"/>
      <c r="K82" s="95"/>
      <c r="L82" s="95"/>
      <c r="M82" s="95"/>
      <c r="N82" s="95"/>
    </row>
    <row r="83" spans="1:14" ht="12.75">
      <c r="A83" s="224" t="s">
        <v>135</v>
      </c>
      <c r="B83" s="112" t="s">
        <v>126</v>
      </c>
      <c r="C83" s="113">
        <v>280</v>
      </c>
      <c r="D83" s="113">
        <v>0.48</v>
      </c>
      <c r="E83" s="113">
        <f t="shared" si="1"/>
        <v>134.4</v>
      </c>
      <c r="F83" s="187"/>
      <c r="G83" s="220">
        <v>1379</v>
      </c>
      <c r="H83" s="95"/>
      <c r="I83" s="95"/>
      <c r="J83" s="95"/>
      <c r="K83" s="95"/>
      <c r="L83" s="95"/>
      <c r="M83" s="95"/>
      <c r="N83" s="95"/>
    </row>
    <row r="84" spans="1:14" ht="25.5">
      <c r="A84" s="224" t="s">
        <v>136</v>
      </c>
      <c r="B84" s="112" t="s">
        <v>137</v>
      </c>
      <c r="C84" s="113">
        <v>2.2</v>
      </c>
      <c r="D84" s="113">
        <v>20.93</v>
      </c>
      <c r="E84" s="113">
        <f t="shared" si="1"/>
        <v>46.05</v>
      </c>
      <c r="F84" s="187"/>
      <c r="G84" s="220">
        <v>1355</v>
      </c>
      <c r="H84" s="95"/>
      <c r="I84" s="95"/>
      <c r="J84" s="95"/>
      <c r="K84" s="95"/>
      <c r="L84" s="95"/>
      <c r="M84" s="95"/>
      <c r="N84" s="95"/>
    </row>
    <row r="85" spans="1:14" ht="12.75">
      <c r="A85" s="224" t="s">
        <v>138</v>
      </c>
      <c r="B85" s="112" t="s">
        <v>139</v>
      </c>
      <c r="C85" s="113">
        <v>1.2</v>
      </c>
      <c r="D85" s="113">
        <v>10.41</v>
      </c>
      <c r="E85" s="113">
        <f t="shared" si="1"/>
        <v>12.49</v>
      </c>
      <c r="F85" s="187"/>
      <c r="G85" s="220">
        <v>2692</v>
      </c>
      <c r="H85" s="95"/>
      <c r="I85" s="95"/>
      <c r="J85" s="95"/>
      <c r="K85" s="95"/>
      <c r="L85" s="95"/>
      <c r="M85" s="95"/>
      <c r="N85" s="95"/>
    </row>
    <row r="86" spans="1:14" ht="25.5">
      <c r="A86" s="224" t="s">
        <v>140</v>
      </c>
      <c r="B86" s="112" t="s">
        <v>106</v>
      </c>
      <c r="C86" s="113">
        <v>8</v>
      </c>
      <c r="D86" s="113">
        <v>3.03</v>
      </c>
      <c r="E86" s="113">
        <f t="shared" si="1"/>
        <v>24.24</v>
      </c>
      <c r="F86" s="187"/>
      <c r="G86" s="220">
        <v>4509</v>
      </c>
      <c r="H86" s="95"/>
      <c r="I86" s="95"/>
      <c r="J86" s="95"/>
      <c r="K86" s="95"/>
      <c r="L86" s="95"/>
      <c r="M86" s="95"/>
      <c r="N86" s="95"/>
    </row>
    <row r="87" spans="1:14" ht="25.5">
      <c r="A87" s="224" t="s">
        <v>141</v>
      </c>
      <c r="B87" s="112" t="s">
        <v>106</v>
      </c>
      <c r="C87" s="113">
        <v>2</v>
      </c>
      <c r="D87" s="113">
        <v>5.89</v>
      </c>
      <c r="E87" s="113">
        <f t="shared" si="1"/>
        <v>11.78</v>
      </c>
      <c r="F87" s="187"/>
      <c r="G87" s="220">
        <v>4491</v>
      </c>
      <c r="H87" s="95"/>
      <c r="I87" s="95"/>
      <c r="J87" s="95"/>
      <c r="K87" s="95"/>
      <c r="L87" s="95"/>
      <c r="M87" s="95"/>
      <c r="N87" s="95"/>
    </row>
    <row r="88" spans="1:14" ht="12.75">
      <c r="A88" s="224" t="s">
        <v>142</v>
      </c>
      <c r="B88" s="112" t="s">
        <v>126</v>
      </c>
      <c r="C88" s="113">
        <v>3</v>
      </c>
      <c r="D88" s="113">
        <v>7.68</v>
      </c>
      <c r="E88" s="113">
        <f t="shared" si="1"/>
        <v>23.04</v>
      </c>
      <c r="F88" s="187"/>
      <c r="G88" s="220">
        <v>5061</v>
      </c>
      <c r="H88" s="95"/>
      <c r="I88" s="95"/>
      <c r="J88" s="95"/>
      <c r="K88" s="95"/>
      <c r="L88" s="95"/>
      <c r="M88" s="95"/>
      <c r="N88" s="95"/>
    </row>
    <row r="89" spans="1:14" ht="12.75">
      <c r="A89" s="226"/>
      <c r="B89" s="208"/>
      <c r="C89" s="121"/>
      <c r="D89" s="122"/>
      <c r="E89" s="121"/>
      <c r="F89" s="108"/>
      <c r="G89" s="139"/>
      <c r="H89" s="95"/>
      <c r="I89" s="95"/>
      <c r="J89" s="95"/>
      <c r="K89" s="95"/>
      <c r="L89" s="95"/>
      <c r="M89" s="95"/>
      <c r="N89" s="95"/>
    </row>
    <row r="90" spans="1:14" ht="12.75">
      <c r="A90" s="227" t="s">
        <v>112</v>
      </c>
      <c r="B90" s="208" t="s">
        <v>113</v>
      </c>
      <c r="C90" s="121"/>
      <c r="D90" s="121"/>
      <c r="E90" s="121">
        <f>C90*D90</f>
        <v>0</v>
      </c>
      <c r="F90" s="108">
        <f>SUM(F76,F70,F66)</f>
        <v>1047.735</v>
      </c>
      <c r="G90" s="139"/>
      <c r="H90" s="95"/>
      <c r="I90" s="95"/>
      <c r="J90" s="95"/>
      <c r="K90" s="95"/>
      <c r="L90" s="95"/>
      <c r="M90" s="95"/>
      <c r="N90" s="95"/>
    </row>
    <row r="91" spans="1:14" ht="12.75">
      <c r="A91" s="228"/>
      <c r="B91" s="208"/>
      <c r="C91" s="121"/>
      <c r="D91" s="121"/>
      <c r="E91" s="138">
        <f>C91*D91</f>
        <v>0</v>
      </c>
      <c r="F91" s="108"/>
      <c r="G91" s="139"/>
      <c r="H91" s="95"/>
      <c r="I91" s="95"/>
      <c r="J91" s="95"/>
      <c r="K91" s="95"/>
      <c r="L91" s="95"/>
      <c r="M91" s="95"/>
      <c r="N91" s="95"/>
    </row>
    <row r="92" spans="1:14" ht="24.75" customHeight="1">
      <c r="A92" s="227" t="s">
        <v>114</v>
      </c>
      <c r="B92" s="208" t="s">
        <v>113</v>
      </c>
      <c r="C92" s="121"/>
      <c r="D92" s="121"/>
      <c r="E92" s="121">
        <f>C92*D92</f>
        <v>0</v>
      </c>
      <c r="F92" s="108">
        <f>ROUND(F90*F11,2)</f>
        <v>261.93</v>
      </c>
      <c r="G92" s="139"/>
      <c r="H92" s="95"/>
      <c r="I92" s="95"/>
      <c r="J92" s="95"/>
      <c r="K92" s="95"/>
      <c r="L92" s="95"/>
      <c r="M92" s="95"/>
      <c r="N92" s="95"/>
    </row>
    <row r="93" spans="1:14" ht="12.75">
      <c r="A93" s="228"/>
      <c r="B93" s="209"/>
      <c r="C93" s="208"/>
      <c r="D93" s="208"/>
      <c r="E93" s="208"/>
      <c r="F93" s="206"/>
      <c r="G93" s="139"/>
      <c r="H93" s="95"/>
      <c r="I93" s="95"/>
      <c r="J93" s="95"/>
      <c r="K93" s="95"/>
      <c r="L93" s="95"/>
      <c r="M93" s="95"/>
      <c r="N93" s="95"/>
    </row>
    <row r="94" spans="1:14" ht="13.5" thickBot="1">
      <c r="A94" s="229" t="s">
        <v>115</v>
      </c>
      <c r="B94" s="140" t="s">
        <v>113</v>
      </c>
      <c r="C94" s="141"/>
      <c r="D94" s="141"/>
      <c r="E94" s="141"/>
      <c r="F94" s="142">
        <f>SUM(F90,F92)</f>
        <v>1309.665</v>
      </c>
      <c r="G94" s="143"/>
      <c r="H94" s="95"/>
      <c r="I94" s="95"/>
      <c r="J94" s="95"/>
      <c r="K94" s="95"/>
      <c r="L94" s="95"/>
      <c r="M94" s="95"/>
      <c r="N94" s="95"/>
    </row>
    <row r="95" spans="1:7" ht="12.75" hidden="1">
      <c r="A95" s="230"/>
      <c r="B95" s="231"/>
      <c r="C95" s="231"/>
      <c r="D95" s="231"/>
      <c r="E95" s="231"/>
      <c r="F95" s="231"/>
      <c r="G95" s="232"/>
    </row>
    <row r="96" spans="1:7" ht="43.5" customHeight="1" hidden="1">
      <c r="A96" s="591" t="s">
        <v>143</v>
      </c>
      <c r="B96" s="592"/>
      <c r="C96" s="592"/>
      <c r="D96" s="592"/>
      <c r="E96" s="592"/>
      <c r="F96" s="96" t="s">
        <v>89</v>
      </c>
      <c r="G96" s="233" t="s">
        <v>90</v>
      </c>
    </row>
    <row r="97" spans="1:7" ht="12.75" hidden="1">
      <c r="A97" s="604"/>
      <c r="B97" s="605"/>
      <c r="C97" s="605"/>
      <c r="D97" s="606" t="s">
        <v>91</v>
      </c>
      <c r="E97" s="98"/>
      <c r="F97" s="99"/>
      <c r="G97" s="601" t="s">
        <v>92</v>
      </c>
    </row>
    <row r="98" spans="1:7" ht="12.75" hidden="1">
      <c r="A98" s="234" t="s">
        <v>93</v>
      </c>
      <c r="B98" s="98" t="s">
        <v>94</v>
      </c>
      <c r="C98" s="206" t="s">
        <v>95</v>
      </c>
      <c r="D98" s="606"/>
      <c r="E98" s="206" t="s">
        <v>96</v>
      </c>
      <c r="F98" s="207" t="s">
        <v>97</v>
      </c>
      <c r="G98" s="601"/>
    </row>
    <row r="99" spans="1:7" ht="12.75" hidden="1">
      <c r="A99" s="587" t="s">
        <v>98</v>
      </c>
      <c r="B99" s="588"/>
      <c r="C99" s="588"/>
      <c r="D99" s="588"/>
      <c r="E99" s="588"/>
      <c r="F99" s="102"/>
      <c r="G99" s="216"/>
    </row>
    <row r="100" spans="1:7" ht="12.75" hidden="1">
      <c r="A100" s="217"/>
      <c r="B100" s="203"/>
      <c r="C100" s="203"/>
      <c r="D100" s="203"/>
      <c r="E100" s="203"/>
      <c r="F100" s="105"/>
      <c r="G100" s="218"/>
    </row>
    <row r="101" spans="1:7" ht="12.75" hidden="1">
      <c r="A101" s="589" t="s">
        <v>100</v>
      </c>
      <c r="B101" s="590"/>
      <c r="C101" s="590"/>
      <c r="D101" s="590"/>
      <c r="E101" s="590"/>
      <c r="F101" s="108"/>
      <c r="G101" s="139"/>
    </row>
    <row r="102" spans="1:7" ht="12.75" hidden="1">
      <c r="A102" s="235"/>
      <c r="B102" s="204"/>
      <c r="C102" s="204"/>
      <c r="D102" s="204"/>
      <c r="E102" s="204"/>
      <c r="F102" s="110">
        <f>SUM(E103:E104)</f>
        <v>67.57</v>
      </c>
      <c r="G102" s="139"/>
    </row>
    <row r="103" spans="1:7" ht="12.75" hidden="1">
      <c r="A103" s="224" t="s">
        <v>101</v>
      </c>
      <c r="B103" s="112" t="s">
        <v>102</v>
      </c>
      <c r="C103" s="113">
        <v>4.5</v>
      </c>
      <c r="D103" s="113">
        <v>9.93</v>
      </c>
      <c r="E103" s="113">
        <f>ROUND(C103*D103,2)</f>
        <v>44.69</v>
      </c>
      <c r="F103" s="108"/>
      <c r="G103" s="139">
        <v>2436</v>
      </c>
    </row>
    <row r="104" spans="1:7" ht="12.75" hidden="1">
      <c r="A104" s="224" t="s">
        <v>103</v>
      </c>
      <c r="B104" s="112" t="s">
        <v>102</v>
      </c>
      <c r="C104" s="113">
        <v>3.1</v>
      </c>
      <c r="D104" s="113">
        <v>7.38</v>
      </c>
      <c r="E104" s="113">
        <f>ROUND(C104*D104,2)</f>
        <v>22.88</v>
      </c>
      <c r="F104" s="108"/>
      <c r="G104" s="139">
        <v>6111</v>
      </c>
    </row>
    <row r="105" spans="1:7" ht="12.75" hidden="1">
      <c r="A105" s="224"/>
      <c r="B105" s="112"/>
      <c r="C105" s="113"/>
      <c r="D105" s="113"/>
      <c r="E105" s="113"/>
      <c r="F105" s="108"/>
      <c r="G105" s="139"/>
    </row>
    <row r="106" spans="1:7" ht="12.75" hidden="1">
      <c r="A106" s="593" t="s">
        <v>104</v>
      </c>
      <c r="B106" s="594"/>
      <c r="C106" s="594"/>
      <c r="D106" s="594"/>
      <c r="E106" s="594"/>
      <c r="F106" s="108">
        <f>SUM(E107:E110)</f>
        <v>72.34</v>
      </c>
      <c r="G106" s="139"/>
    </row>
    <row r="107" spans="1:7" ht="25.5" hidden="1">
      <c r="A107" s="224" t="s">
        <v>105</v>
      </c>
      <c r="B107" s="112" t="s">
        <v>106</v>
      </c>
      <c r="C107" s="113">
        <v>9</v>
      </c>
      <c r="D107" s="113">
        <v>1.12</v>
      </c>
      <c r="E107" s="113">
        <f>ROUND(C107*D107,2)</f>
        <v>10.08</v>
      </c>
      <c r="F107" s="108"/>
      <c r="G107" s="139">
        <v>2689</v>
      </c>
    </row>
    <row r="108" spans="1:7" ht="25.5" hidden="1">
      <c r="A108" s="224" t="s">
        <v>144</v>
      </c>
      <c r="B108" s="112" t="s">
        <v>106</v>
      </c>
      <c r="C108" s="113">
        <v>17</v>
      </c>
      <c r="D108" s="113">
        <v>1.6</v>
      </c>
      <c r="E108" s="113">
        <f>ROUND(C108*D108,2)</f>
        <v>27.2</v>
      </c>
      <c r="F108" s="108"/>
      <c r="G108" s="236" t="s">
        <v>145</v>
      </c>
    </row>
    <row r="109" spans="1:7" ht="25.5" hidden="1">
      <c r="A109" s="224" t="s">
        <v>109</v>
      </c>
      <c r="B109" s="112" t="s">
        <v>110</v>
      </c>
      <c r="C109" s="113">
        <v>0.15</v>
      </c>
      <c r="D109" s="113">
        <v>4.85</v>
      </c>
      <c r="E109" s="113">
        <f>ROUND(C109*D109,2)</f>
        <v>0.73</v>
      </c>
      <c r="F109" s="108"/>
      <c r="G109" s="139">
        <v>20111</v>
      </c>
    </row>
    <row r="110" spans="1:7" ht="25.5" hidden="1">
      <c r="A110" s="224" t="s">
        <v>146</v>
      </c>
      <c r="B110" s="112" t="s">
        <v>110</v>
      </c>
      <c r="C110" s="113">
        <v>1</v>
      </c>
      <c r="D110" s="113">
        <v>34.33</v>
      </c>
      <c r="E110" s="113">
        <f>ROUND(C110*D110,2)</f>
        <v>34.33</v>
      </c>
      <c r="F110" s="108"/>
      <c r="G110" s="139">
        <v>13347</v>
      </c>
    </row>
    <row r="111" spans="1:7" ht="12.75" hidden="1">
      <c r="A111" s="226"/>
      <c r="B111" s="208"/>
      <c r="C111" s="121"/>
      <c r="D111" s="122"/>
      <c r="E111" s="121"/>
      <c r="F111" s="108"/>
      <c r="G111" s="139"/>
    </row>
    <row r="112" spans="1:7" ht="12.75" hidden="1">
      <c r="A112" s="227" t="s">
        <v>112</v>
      </c>
      <c r="B112" s="208" t="s">
        <v>113</v>
      </c>
      <c r="C112" s="121"/>
      <c r="D112" s="121"/>
      <c r="E112" s="121">
        <f>C112*D112</f>
        <v>0</v>
      </c>
      <c r="F112" s="108">
        <f>SUM(F106,F102,F100)</f>
        <v>139.91</v>
      </c>
      <c r="G112" s="139"/>
    </row>
    <row r="113" spans="1:7" ht="12.75" hidden="1">
      <c r="A113" s="228"/>
      <c r="B113" s="208"/>
      <c r="C113" s="121"/>
      <c r="D113" s="121"/>
      <c r="E113" s="121">
        <f>C113*D113</f>
        <v>0</v>
      </c>
      <c r="F113" s="108"/>
      <c r="G113" s="139"/>
    </row>
    <row r="114" spans="1:7" ht="12.75" hidden="1">
      <c r="A114" s="227" t="s">
        <v>114</v>
      </c>
      <c r="B114" s="208" t="s">
        <v>113</v>
      </c>
      <c r="C114" s="121"/>
      <c r="D114" s="121"/>
      <c r="E114" s="121">
        <f>C114*D114</f>
        <v>0</v>
      </c>
      <c r="F114" s="108">
        <f>ROUND(F112*F11,2)</f>
        <v>34.98</v>
      </c>
      <c r="G114" s="139"/>
    </row>
    <row r="115" spans="1:7" ht="12.75" hidden="1">
      <c r="A115" s="228"/>
      <c r="B115" s="209"/>
      <c r="C115" s="208"/>
      <c r="D115" s="208"/>
      <c r="E115" s="208"/>
      <c r="F115" s="206"/>
      <c r="G115" s="139"/>
    </row>
    <row r="116" spans="1:7" ht="12.75" hidden="1">
      <c r="A116" s="227" t="s">
        <v>115</v>
      </c>
      <c r="B116" s="209" t="s">
        <v>113</v>
      </c>
      <c r="C116" s="208"/>
      <c r="D116" s="208"/>
      <c r="E116" s="208"/>
      <c r="F116" s="126">
        <f>SUM(F112,F114)</f>
        <v>174.89</v>
      </c>
      <c r="G116" s="139"/>
    </row>
    <row r="117" spans="1:7" ht="12.75" hidden="1">
      <c r="A117" s="237"/>
      <c r="B117" s="127"/>
      <c r="C117" s="127"/>
      <c r="D117" s="127"/>
      <c r="E117" s="127"/>
      <c r="F117" s="127"/>
      <c r="G117" s="238"/>
    </row>
    <row r="118" spans="1:7" ht="13.5" thickBot="1">
      <c r="A118" s="230"/>
      <c r="B118" s="231"/>
      <c r="C118" s="231"/>
      <c r="D118" s="231"/>
      <c r="E118" s="231"/>
      <c r="F118" s="231"/>
      <c r="G118" s="232"/>
    </row>
    <row r="119" spans="1:7" ht="45.75" customHeight="1" thickBot="1">
      <c r="A119" s="595" t="s">
        <v>162</v>
      </c>
      <c r="B119" s="596"/>
      <c r="C119" s="596"/>
      <c r="D119" s="596"/>
      <c r="E119" s="597"/>
      <c r="F119" s="130" t="s">
        <v>89</v>
      </c>
      <c r="G119" s="131" t="s">
        <v>119</v>
      </c>
    </row>
    <row r="120" spans="1:7" ht="13.5" thickBot="1">
      <c r="A120" s="598"/>
      <c r="B120" s="599"/>
      <c r="C120" s="599"/>
      <c r="D120" s="600" t="s">
        <v>91</v>
      </c>
      <c r="E120" s="132"/>
      <c r="F120" s="133"/>
      <c r="G120" s="585" t="s">
        <v>92</v>
      </c>
    </row>
    <row r="121" spans="1:7" ht="12.75">
      <c r="A121" s="134" t="s">
        <v>93</v>
      </c>
      <c r="B121" s="135" t="s">
        <v>94</v>
      </c>
      <c r="C121" s="134" t="s">
        <v>95</v>
      </c>
      <c r="D121" s="600"/>
      <c r="E121" s="134" t="s">
        <v>96</v>
      </c>
      <c r="F121" s="136" t="s">
        <v>97</v>
      </c>
      <c r="G121" s="586"/>
    </row>
    <row r="122" spans="1:7" ht="12.75">
      <c r="A122" s="587" t="s">
        <v>98</v>
      </c>
      <c r="B122" s="588"/>
      <c r="C122" s="588"/>
      <c r="D122" s="588"/>
      <c r="E122" s="588"/>
      <c r="F122" s="102"/>
      <c r="G122" s="216"/>
    </row>
    <row r="123" spans="1:7" ht="12.75">
      <c r="A123" s="217"/>
      <c r="B123" s="203"/>
      <c r="C123" s="203"/>
      <c r="D123" s="203"/>
      <c r="E123" s="203"/>
      <c r="F123" s="105">
        <f>E124</f>
        <v>8.715000000000002</v>
      </c>
      <c r="G123" s="218"/>
    </row>
    <row r="124" spans="1:7" ht="25.5">
      <c r="A124" s="239" t="s">
        <v>120</v>
      </c>
      <c r="B124" s="208" t="s">
        <v>102</v>
      </c>
      <c r="C124" s="137">
        <v>4.15</v>
      </c>
      <c r="D124" s="137">
        <v>2.1</v>
      </c>
      <c r="E124" s="137">
        <f>C124*D124</f>
        <v>8.715000000000002</v>
      </c>
      <c r="F124" s="137"/>
      <c r="G124" s="139">
        <v>10532</v>
      </c>
    </row>
    <row r="125" spans="1:7" ht="12.75">
      <c r="A125" s="217"/>
      <c r="B125" s="203"/>
      <c r="C125" s="203"/>
      <c r="D125" s="203"/>
      <c r="E125" s="203"/>
      <c r="F125" s="203"/>
      <c r="G125" s="218"/>
    </row>
    <row r="126" spans="1:7" ht="12.75">
      <c r="A126" s="589" t="s">
        <v>100</v>
      </c>
      <c r="B126" s="590"/>
      <c r="C126" s="590"/>
      <c r="D126" s="590"/>
      <c r="E126" s="590"/>
      <c r="F126" s="108"/>
      <c r="G126" s="139"/>
    </row>
    <row r="127" spans="1:7" ht="12.75">
      <c r="A127" s="235"/>
      <c r="B127" s="204"/>
      <c r="C127" s="204"/>
      <c r="D127" s="204"/>
      <c r="E127" s="204"/>
      <c r="F127" s="110">
        <f>SUM(E128:E131)</f>
        <v>412.48</v>
      </c>
      <c r="G127" s="139"/>
    </row>
    <row r="128" spans="1:7" ht="12.75">
      <c r="A128" s="226" t="s">
        <v>121</v>
      </c>
      <c r="B128" s="208" t="s">
        <v>102</v>
      </c>
      <c r="C128" s="121">
        <v>7</v>
      </c>
      <c r="D128" s="122">
        <v>8.6</v>
      </c>
      <c r="E128" s="121">
        <f>ROUND(C128*D128,2)</f>
        <v>60.2</v>
      </c>
      <c r="F128" s="108"/>
      <c r="G128" s="236" t="s">
        <v>122</v>
      </c>
    </row>
    <row r="129" spans="1:7" ht="12.75">
      <c r="A129" s="226" t="s">
        <v>123</v>
      </c>
      <c r="B129" s="208" t="s">
        <v>102</v>
      </c>
      <c r="C129" s="121">
        <v>13.5</v>
      </c>
      <c r="D129" s="122">
        <v>8.6</v>
      </c>
      <c r="E129" s="121">
        <f>ROUND(C129*D129,2)</f>
        <v>116.1</v>
      </c>
      <c r="F129" s="108"/>
      <c r="G129" s="139">
        <v>1213</v>
      </c>
    </row>
    <row r="130" spans="1:7" ht="12.75">
      <c r="A130" s="226" t="s">
        <v>124</v>
      </c>
      <c r="B130" s="208" t="s">
        <v>102</v>
      </c>
      <c r="C130" s="121">
        <v>4.8</v>
      </c>
      <c r="D130" s="122">
        <v>8.6</v>
      </c>
      <c r="E130" s="121">
        <f>ROUND(C130*D130,2)</f>
        <v>41.28</v>
      </c>
      <c r="F130" s="108"/>
      <c r="G130" s="139">
        <v>4750</v>
      </c>
    </row>
    <row r="131" spans="1:7" ht="12.75">
      <c r="A131" s="226" t="s">
        <v>103</v>
      </c>
      <c r="B131" s="208" t="s">
        <v>102</v>
      </c>
      <c r="C131" s="121">
        <v>30.5</v>
      </c>
      <c r="D131" s="122">
        <v>6.39</v>
      </c>
      <c r="E131" s="121">
        <f>ROUND(C131*D131,2)</f>
        <v>194.9</v>
      </c>
      <c r="F131" s="108"/>
      <c r="G131" s="139">
        <v>6111</v>
      </c>
    </row>
    <row r="132" spans="1:7" ht="12.75">
      <c r="A132" s="226"/>
      <c r="B132" s="208"/>
      <c r="C132" s="121"/>
      <c r="D132" s="122"/>
      <c r="E132" s="121"/>
      <c r="F132" s="108"/>
      <c r="G132" s="139"/>
    </row>
    <row r="133" spans="1:7" ht="12.75">
      <c r="A133" s="591" t="s">
        <v>104</v>
      </c>
      <c r="B133" s="592"/>
      <c r="C133" s="592"/>
      <c r="D133" s="592"/>
      <c r="E133" s="592"/>
      <c r="F133" s="108">
        <f>SUM(E135:E145)</f>
        <v>802.5099999999999</v>
      </c>
      <c r="G133" s="139"/>
    </row>
    <row r="134" spans="1:7" ht="12.75">
      <c r="A134" s="226"/>
      <c r="B134" s="208"/>
      <c r="C134" s="121"/>
      <c r="D134" s="122"/>
      <c r="E134" s="121"/>
      <c r="F134" s="108"/>
      <c r="G134" s="139"/>
    </row>
    <row r="135" spans="1:7" ht="12.75">
      <c r="A135" s="226" t="s">
        <v>125</v>
      </c>
      <c r="B135" s="208" t="s">
        <v>126</v>
      </c>
      <c r="C135" s="121">
        <v>80</v>
      </c>
      <c r="D135" s="122">
        <v>4.34</v>
      </c>
      <c r="E135" s="121">
        <f>ROUND(C135*D135,2)</f>
        <v>347.2</v>
      </c>
      <c r="F135" s="108"/>
      <c r="G135" s="139" t="s">
        <v>160</v>
      </c>
    </row>
    <row r="136" spans="1:7" ht="25.5">
      <c r="A136" s="226" t="s">
        <v>127</v>
      </c>
      <c r="B136" s="208" t="s">
        <v>128</v>
      </c>
      <c r="C136" s="121">
        <v>3.1</v>
      </c>
      <c r="D136" s="122">
        <v>9</v>
      </c>
      <c r="E136" s="121">
        <f aca="true" t="shared" si="2" ref="E136:E145">ROUND(C136*D136,2)</f>
        <v>27.9</v>
      </c>
      <c r="F136" s="108"/>
      <c r="G136" s="236" t="s">
        <v>129</v>
      </c>
    </row>
    <row r="137" spans="1:7" ht="12.75">
      <c r="A137" s="226" t="s">
        <v>130</v>
      </c>
      <c r="B137" s="208" t="s">
        <v>131</v>
      </c>
      <c r="C137" s="121">
        <v>0.91</v>
      </c>
      <c r="D137" s="122">
        <v>53.5</v>
      </c>
      <c r="E137" s="121">
        <f t="shared" si="2"/>
        <v>48.69</v>
      </c>
      <c r="F137" s="108"/>
      <c r="G137" s="236" t="s">
        <v>132</v>
      </c>
    </row>
    <row r="138" spans="1:7" ht="12.75">
      <c r="A138" s="226" t="s">
        <v>133</v>
      </c>
      <c r="B138" s="208" t="s">
        <v>131</v>
      </c>
      <c r="C138" s="121">
        <v>0.29</v>
      </c>
      <c r="D138" s="122">
        <v>98.36</v>
      </c>
      <c r="E138" s="121">
        <f t="shared" si="2"/>
        <v>28.52</v>
      </c>
      <c r="F138" s="108"/>
      <c r="G138" s="139">
        <v>4721</v>
      </c>
    </row>
    <row r="139" spans="1:7" ht="12.75">
      <c r="A139" s="226" t="s">
        <v>134</v>
      </c>
      <c r="B139" s="208" t="s">
        <v>131</v>
      </c>
      <c r="C139" s="121">
        <v>0.68</v>
      </c>
      <c r="D139" s="122">
        <v>95</v>
      </c>
      <c r="E139" s="121">
        <f t="shared" si="2"/>
        <v>64.6</v>
      </c>
      <c r="F139" s="108"/>
      <c r="G139" s="139">
        <v>4718</v>
      </c>
    </row>
    <row r="140" spans="1:7" ht="12.75">
      <c r="A140" s="226" t="s">
        <v>135</v>
      </c>
      <c r="B140" s="208" t="s">
        <v>126</v>
      </c>
      <c r="C140" s="121">
        <v>350</v>
      </c>
      <c r="D140" s="122">
        <v>0.48</v>
      </c>
      <c r="E140" s="121">
        <f t="shared" si="2"/>
        <v>168</v>
      </c>
      <c r="F140" s="108"/>
      <c r="G140" s="139">
        <v>1379</v>
      </c>
    </row>
    <row r="141" spans="1:7" ht="25.5">
      <c r="A141" s="226" t="s">
        <v>136</v>
      </c>
      <c r="B141" s="208" t="s">
        <v>137</v>
      </c>
      <c r="C141" s="121">
        <v>2.2</v>
      </c>
      <c r="D141" s="122">
        <v>20.93</v>
      </c>
      <c r="E141" s="121">
        <f t="shared" si="2"/>
        <v>46.05</v>
      </c>
      <c r="F141" s="108"/>
      <c r="G141" s="139">
        <v>1355</v>
      </c>
    </row>
    <row r="142" spans="1:7" ht="12.75">
      <c r="A142" s="226" t="s">
        <v>138</v>
      </c>
      <c r="B142" s="208" t="s">
        <v>139</v>
      </c>
      <c r="C142" s="121">
        <v>1.2</v>
      </c>
      <c r="D142" s="122">
        <v>10.41</v>
      </c>
      <c r="E142" s="121">
        <f t="shared" si="2"/>
        <v>12.49</v>
      </c>
      <c r="F142" s="108"/>
      <c r="G142" s="139">
        <v>2692</v>
      </c>
    </row>
    <row r="143" spans="1:7" ht="25.5">
      <c r="A143" s="226" t="s">
        <v>140</v>
      </c>
      <c r="B143" s="208" t="s">
        <v>106</v>
      </c>
      <c r="C143" s="121">
        <v>8</v>
      </c>
      <c r="D143" s="122">
        <v>3.03</v>
      </c>
      <c r="E143" s="121">
        <f t="shared" si="2"/>
        <v>24.24</v>
      </c>
      <c r="F143" s="108"/>
      <c r="G143" s="139">
        <v>4509</v>
      </c>
    </row>
    <row r="144" spans="1:7" ht="25.5">
      <c r="A144" s="226" t="s">
        <v>141</v>
      </c>
      <c r="B144" s="208" t="s">
        <v>106</v>
      </c>
      <c r="C144" s="121">
        <v>2</v>
      </c>
      <c r="D144" s="122">
        <v>5.89</v>
      </c>
      <c r="E144" s="121">
        <f t="shared" si="2"/>
        <v>11.78</v>
      </c>
      <c r="F144" s="108"/>
      <c r="G144" s="139">
        <v>4491</v>
      </c>
    </row>
    <row r="145" spans="1:7" ht="12.75">
      <c r="A145" s="226" t="s">
        <v>142</v>
      </c>
      <c r="B145" s="208" t="s">
        <v>126</v>
      </c>
      <c r="C145" s="121">
        <v>3</v>
      </c>
      <c r="D145" s="122">
        <v>7.68</v>
      </c>
      <c r="E145" s="121">
        <f t="shared" si="2"/>
        <v>23.04</v>
      </c>
      <c r="F145" s="108"/>
      <c r="G145" s="139">
        <v>5061</v>
      </c>
    </row>
    <row r="146" spans="1:7" ht="12.75">
      <c r="A146" s="226"/>
      <c r="B146" s="208"/>
      <c r="C146" s="121"/>
      <c r="D146" s="122"/>
      <c r="E146" s="121"/>
      <c r="F146" s="108"/>
      <c r="G146" s="139"/>
    </row>
    <row r="147" spans="1:7" ht="12.75">
      <c r="A147" s="227" t="s">
        <v>112</v>
      </c>
      <c r="B147" s="208" t="s">
        <v>113</v>
      </c>
      <c r="C147" s="121"/>
      <c r="D147" s="121"/>
      <c r="E147" s="121">
        <f>C147*D147</f>
        <v>0</v>
      </c>
      <c r="F147" s="108">
        <f>SUM(F133,F127,F123)</f>
        <v>1223.7049999999997</v>
      </c>
      <c r="G147" s="139"/>
    </row>
    <row r="148" spans="1:7" ht="12.75">
      <c r="A148" s="228"/>
      <c r="B148" s="208"/>
      <c r="C148" s="121"/>
      <c r="D148" s="121"/>
      <c r="E148" s="138">
        <f>C148*D148</f>
        <v>0</v>
      </c>
      <c r="F148" s="108"/>
      <c r="G148" s="139"/>
    </row>
    <row r="149" spans="1:7" ht="12.75">
      <c r="A149" s="227" t="s">
        <v>114</v>
      </c>
      <c r="B149" s="208" t="s">
        <v>113</v>
      </c>
      <c r="C149" s="121"/>
      <c r="D149" s="121"/>
      <c r="E149" s="121">
        <f>C149*D149</f>
        <v>0</v>
      </c>
      <c r="F149" s="108">
        <f>ROUND(F147*F11,2)</f>
        <v>305.93</v>
      </c>
      <c r="G149" s="139"/>
    </row>
    <row r="150" spans="1:7" ht="12.75">
      <c r="A150" s="228"/>
      <c r="B150" s="209"/>
      <c r="C150" s="208"/>
      <c r="D150" s="208"/>
      <c r="E150" s="208"/>
      <c r="F150" s="206"/>
      <c r="G150" s="139"/>
    </row>
    <row r="151" spans="1:7" ht="13.5" thickBot="1">
      <c r="A151" s="229" t="s">
        <v>115</v>
      </c>
      <c r="B151" s="140" t="s">
        <v>113</v>
      </c>
      <c r="C151" s="141"/>
      <c r="D151" s="141"/>
      <c r="E151" s="141"/>
      <c r="F151" s="142">
        <f>SUM(F147,F149)</f>
        <v>1529.6349999999998</v>
      </c>
      <c r="G151" s="143"/>
    </row>
    <row r="152" spans="1:7" ht="12.75">
      <c r="A152" s="144"/>
      <c r="B152" s="144"/>
      <c r="C152" s="144"/>
      <c r="D152" s="144"/>
      <c r="E152" s="144"/>
      <c r="F152" s="144"/>
      <c r="G152" s="145"/>
    </row>
    <row r="153" spans="1:7" ht="12.75">
      <c r="A153" s="144"/>
      <c r="B153" s="144"/>
      <c r="C153" s="144"/>
      <c r="D153" s="144"/>
      <c r="E153" s="144"/>
      <c r="F153" s="144"/>
      <c r="G153" s="145"/>
    </row>
    <row r="154" spans="1:7" ht="12.75">
      <c r="A154" s="144"/>
      <c r="B154" s="144"/>
      <c r="C154" s="144"/>
      <c r="D154" s="144"/>
      <c r="E154" s="144"/>
      <c r="F154" s="144"/>
      <c r="G154" s="145"/>
    </row>
    <row r="155" spans="1:7" ht="12.75">
      <c r="A155" s="144"/>
      <c r="B155" s="144"/>
      <c r="C155" s="144"/>
      <c r="D155" s="144"/>
      <c r="E155" s="144"/>
      <c r="F155" s="144"/>
      <c r="G155" s="145"/>
    </row>
    <row r="156" spans="1:7" ht="12.75">
      <c r="A156" s="144"/>
      <c r="B156" s="144"/>
      <c r="C156" s="144"/>
      <c r="D156" s="144"/>
      <c r="E156" s="144"/>
      <c r="F156" s="144"/>
      <c r="G156" s="145"/>
    </row>
    <row r="157" spans="1:7" ht="12.75">
      <c r="A157" s="144"/>
      <c r="B157" s="144"/>
      <c r="C157" s="144"/>
      <c r="D157" s="144"/>
      <c r="E157" s="144"/>
      <c r="F157" s="144"/>
      <c r="G157" s="145"/>
    </row>
    <row r="158" spans="1:7" ht="12.75">
      <c r="A158" s="144"/>
      <c r="B158" s="144"/>
      <c r="C158" s="144"/>
      <c r="D158" s="144"/>
      <c r="E158" s="144"/>
      <c r="F158" s="144"/>
      <c r="G158" s="145"/>
    </row>
    <row r="159" spans="1:7" ht="12.75">
      <c r="A159" s="144"/>
      <c r="B159" s="144"/>
      <c r="C159" s="144"/>
      <c r="D159" s="144"/>
      <c r="E159" s="144"/>
      <c r="F159" s="144"/>
      <c r="G159" s="145"/>
    </row>
    <row r="160" spans="1:7" ht="12.75">
      <c r="A160" s="144"/>
      <c r="B160" s="144"/>
      <c r="C160" s="144"/>
      <c r="D160" s="144"/>
      <c r="E160" s="144"/>
      <c r="F160" s="144"/>
      <c r="G160" s="145"/>
    </row>
    <row r="161" spans="1:7" ht="12.75">
      <c r="A161" s="144"/>
      <c r="B161" s="144"/>
      <c r="C161" s="144"/>
      <c r="D161" s="144"/>
      <c r="E161" s="144"/>
      <c r="F161" s="144"/>
      <c r="G161" s="145"/>
    </row>
    <row r="162" spans="1:7" ht="12.75">
      <c r="A162" s="144"/>
      <c r="B162" s="144"/>
      <c r="C162" s="144"/>
      <c r="D162" s="144"/>
      <c r="E162" s="144"/>
      <c r="F162" s="144"/>
      <c r="G162" s="145"/>
    </row>
    <row r="163" spans="1:7" ht="12.75">
      <c r="A163" s="144"/>
      <c r="B163" s="144"/>
      <c r="C163" s="144"/>
      <c r="D163" s="144"/>
      <c r="E163" s="144"/>
      <c r="F163" s="144"/>
      <c r="G163" s="145"/>
    </row>
    <row r="164" spans="1:7" ht="12.75">
      <c r="A164" s="144"/>
      <c r="B164" s="144"/>
      <c r="C164" s="144"/>
      <c r="D164" s="144"/>
      <c r="E164" s="144"/>
      <c r="F164" s="144"/>
      <c r="G164" s="145"/>
    </row>
    <row r="165" spans="1:7" ht="12.75">
      <c r="A165" s="144"/>
      <c r="B165" s="144"/>
      <c r="C165" s="144"/>
      <c r="D165" s="144"/>
      <c r="E165" s="144"/>
      <c r="F165" s="144"/>
      <c r="G165" s="145"/>
    </row>
    <row r="166" spans="1:7" ht="12.75">
      <c r="A166" s="144"/>
      <c r="B166" s="144"/>
      <c r="C166" s="144"/>
      <c r="D166" s="144"/>
      <c r="E166" s="144"/>
      <c r="F166" s="144"/>
      <c r="G166" s="145"/>
    </row>
    <row r="167" spans="1:7" ht="12.75">
      <c r="A167" s="144"/>
      <c r="B167" s="144"/>
      <c r="C167" s="144"/>
      <c r="D167" s="144"/>
      <c r="E167" s="144"/>
      <c r="F167" s="144"/>
      <c r="G167" s="145"/>
    </row>
    <row r="168" spans="1:7" ht="12.75">
      <c r="A168" s="144"/>
      <c r="B168" s="144"/>
      <c r="C168" s="144"/>
      <c r="D168" s="144"/>
      <c r="E168" s="144"/>
      <c r="F168" s="144"/>
      <c r="G168" s="145"/>
    </row>
    <row r="169" spans="1:7" ht="12.75">
      <c r="A169" s="144"/>
      <c r="B169" s="144"/>
      <c r="C169" s="144"/>
      <c r="D169" s="144"/>
      <c r="E169" s="144"/>
      <c r="F169" s="144"/>
      <c r="G169" s="145"/>
    </row>
    <row r="170" spans="1:7" ht="12.75">
      <c r="A170" s="144"/>
      <c r="B170" s="144"/>
      <c r="C170" s="144"/>
      <c r="D170" s="144"/>
      <c r="E170" s="144"/>
      <c r="F170" s="144"/>
      <c r="G170" s="145"/>
    </row>
    <row r="171" spans="1:7" ht="12.75">
      <c r="A171" s="144"/>
      <c r="B171" s="144"/>
      <c r="C171" s="144"/>
      <c r="D171" s="144"/>
      <c r="E171" s="144"/>
      <c r="F171" s="144"/>
      <c r="G171" s="145"/>
    </row>
  </sheetData>
  <mergeCells count="46">
    <mergeCell ref="A15:E15"/>
    <mergeCell ref="A1:G5"/>
    <mergeCell ref="A6:G6"/>
    <mergeCell ref="A7:G7"/>
    <mergeCell ref="A8:G8"/>
    <mergeCell ref="A9:G9"/>
    <mergeCell ref="A10:G10"/>
    <mergeCell ref="B11:D11"/>
    <mergeCell ref="F11:G11"/>
    <mergeCell ref="A12:G12"/>
    <mergeCell ref="A13:G13"/>
    <mergeCell ref="A14:G14"/>
    <mergeCell ref="A43:E43"/>
    <mergeCell ref="A16:E16"/>
    <mergeCell ref="A17:C17"/>
    <mergeCell ref="D17:D18"/>
    <mergeCell ref="G17:G18"/>
    <mergeCell ref="A19:E19"/>
    <mergeCell ref="A26:E26"/>
    <mergeCell ref="A38:E38"/>
    <mergeCell ref="A39:C39"/>
    <mergeCell ref="D39:D40"/>
    <mergeCell ref="G39:G40"/>
    <mergeCell ref="A41:E41"/>
    <mergeCell ref="G97:G98"/>
    <mergeCell ref="A48:E48"/>
    <mergeCell ref="A62:E62"/>
    <mergeCell ref="A63:C63"/>
    <mergeCell ref="D63:D64"/>
    <mergeCell ref="G63:G64"/>
    <mergeCell ref="A65:E65"/>
    <mergeCell ref="A69:E69"/>
    <mergeCell ref="A76:E76"/>
    <mergeCell ref="A96:E96"/>
    <mergeCell ref="A97:C97"/>
    <mergeCell ref="D97:D98"/>
    <mergeCell ref="G120:G121"/>
    <mergeCell ref="A122:E122"/>
    <mergeCell ref="A126:E126"/>
    <mergeCell ref="A133:E133"/>
    <mergeCell ref="A99:E99"/>
    <mergeCell ref="A101:E101"/>
    <mergeCell ref="A106:E106"/>
    <mergeCell ref="A119:E119"/>
    <mergeCell ref="A120:C120"/>
    <mergeCell ref="D120:D121"/>
  </mergeCells>
  <printOptions horizontalCentered="1"/>
  <pageMargins left="0.2755905511811024" right="0" top="0.7480314960629921" bottom="0.1968503937007874" header="0.3937007874015748" footer="0.3937007874015748"/>
  <pageSetup horizontalDpi="300" verticalDpi="300" orientation="portrait" paperSize="9" scale="80" r:id="rId2"/>
  <rowBreaks count="1" manualBreakCount="1">
    <brk id="1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view="pageBreakPreview" zoomScaleSheetLayoutView="100" workbookViewId="0" topLeftCell="A1">
      <selection activeCell="G14" sqref="G14"/>
    </sheetView>
  </sheetViews>
  <sheetFormatPr defaultColWidth="9.140625" defaultRowHeight="12.75"/>
  <cols>
    <col min="1" max="1" width="9.28125" style="147" customWidth="1"/>
    <col min="2" max="2" width="33.421875" style="147" customWidth="1"/>
    <col min="3" max="3" width="12.00390625" style="147" customWidth="1"/>
    <col min="4" max="5" width="12.8515625" style="147" customWidth="1"/>
    <col min="6" max="6" width="9.140625" style="147" customWidth="1"/>
    <col min="7" max="7" width="11.28125" style="147" bestFit="1" customWidth="1"/>
    <col min="8" max="16384" width="9.140625" style="147" customWidth="1"/>
  </cols>
  <sheetData>
    <row r="1" spans="1:7" ht="12.75">
      <c r="A1" s="146"/>
      <c r="B1" s="146"/>
      <c r="C1" s="146"/>
      <c r="D1" s="146"/>
      <c r="E1" s="146"/>
      <c r="F1" s="146"/>
      <c r="G1" s="146"/>
    </row>
    <row r="2" spans="1:7" ht="12.75">
      <c r="A2" s="146"/>
      <c r="B2" s="146"/>
      <c r="C2" s="146"/>
      <c r="D2" s="146"/>
      <c r="E2" s="146"/>
      <c r="F2" s="146"/>
      <c r="G2" s="146"/>
    </row>
    <row r="3" spans="1:7" ht="12.75">
      <c r="A3" s="146"/>
      <c r="B3" s="146"/>
      <c r="C3" s="146"/>
      <c r="D3" s="146"/>
      <c r="E3" s="146"/>
      <c r="F3" s="146"/>
      <c r="G3" s="146"/>
    </row>
    <row r="4" spans="1:7" ht="12.75">
      <c r="A4" s="146"/>
      <c r="B4" s="146"/>
      <c r="C4" s="146"/>
      <c r="D4" s="146"/>
      <c r="E4" s="146"/>
      <c r="F4" s="146"/>
      <c r="G4" s="146"/>
    </row>
    <row r="5" spans="1:7" ht="18">
      <c r="A5" s="620" t="s">
        <v>31</v>
      </c>
      <c r="B5" s="620"/>
      <c r="C5" s="620"/>
      <c r="D5" s="620"/>
      <c r="E5" s="620"/>
      <c r="F5" s="146"/>
      <c r="G5" s="146"/>
    </row>
    <row r="6" spans="1:7" ht="18">
      <c r="A6" s="620" t="s">
        <v>84</v>
      </c>
      <c r="B6" s="620"/>
      <c r="C6" s="620"/>
      <c r="D6" s="620"/>
      <c r="E6" s="620"/>
      <c r="F6" s="146"/>
      <c r="G6" s="146"/>
    </row>
    <row r="7" spans="1:7" ht="6.75" customHeight="1">
      <c r="A7" s="146"/>
      <c r="B7" s="146"/>
      <c r="C7" s="146"/>
      <c r="D7" s="146"/>
      <c r="E7" s="146"/>
      <c r="F7" s="146"/>
      <c r="G7" s="146"/>
    </row>
    <row r="8" spans="1:7" ht="6.75" customHeight="1">
      <c r="A8" s="146"/>
      <c r="B8" s="146"/>
      <c r="C8" s="146"/>
      <c r="D8" s="146"/>
      <c r="E8" s="146"/>
      <c r="F8" s="146"/>
      <c r="G8" s="146"/>
    </row>
    <row r="9" spans="1:7" ht="15.75">
      <c r="A9" s="621" t="s">
        <v>147</v>
      </c>
      <c r="B9" s="621"/>
      <c r="C9" s="621"/>
      <c r="D9" s="621"/>
      <c r="E9" s="621"/>
      <c r="F9" s="146"/>
      <c r="G9" s="146"/>
    </row>
    <row r="10" spans="1:7" ht="12.75">
      <c r="A10" s="146"/>
      <c r="B10" s="146"/>
      <c r="C10" s="146"/>
      <c r="D10" s="146"/>
      <c r="E10" s="146"/>
      <c r="F10" s="146"/>
      <c r="G10" s="146"/>
    </row>
    <row r="11" spans="1:7" ht="29.25" customHeight="1">
      <c r="A11" s="148" t="s">
        <v>42</v>
      </c>
      <c r="B11" s="622" t="s">
        <v>203</v>
      </c>
      <c r="C11" s="623"/>
      <c r="D11" s="623"/>
      <c r="E11" s="623"/>
      <c r="F11" s="146"/>
      <c r="G11" s="146"/>
    </row>
    <row r="12" spans="1:7" s="149" customFormat="1" ht="15.75">
      <c r="A12" s="148" t="s">
        <v>41</v>
      </c>
      <c r="B12" s="624" t="s">
        <v>598</v>
      </c>
      <c r="C12" s="625"/>
      <c r="D12" s="625"/>
      <c r="E12" s="625"/>
      <c r="F12" s="253"/>
      <c r="G12" s="253"/>
    </row>
    <row r="13" spans="1:7" s="149" customFormat="1" ht="51.75" customHeight="1">
      <c r="A13" s="150" t="s">
        <v>40</v>
      </c>
      <c r="B13" s="1"/>
      <c r="C13" s="626" t="s">
        <v>599</v>
      </c>
      <c r="D13" s="626"/>
      <c r="E13" s="626"/>
      <c r="F13" s="253"/>
      <c r="G13" s="253"/>
    </row>
    <row r="14" spans="1:7" s="149" customFormat="1" ht="21.75" customHeight="1">
      <c r="A14" s="619" t="s">
        <v>202</v>
      </c>
      <c r="B14" s="619"/>
      <c r="C14" s="619"/>
      <c r="D14" s="619"/>
      <c r="E14" s="619"/>
      <c r="F14" s="253"/>
      <c r="G14" s="253"/>
    </row>
    <row r="15" spans="1:7" ht="5.25" customHeight="1">
      <c r="A15" s="151"/>
      <c r="B15" s="152"/>
      <c r="C15" s="151"/>
      <c r="D15" s="151"/>
      <c r="E15" s="151"/>
      <c r="F15" s="146"/>
      <c r="G15" s="146"/>
    </row>
    <row r="16" spans="1:7" ht="12.75" customHeight="1">
      <c r="A16" s="153" t="s">
        <v>93</v>
      </c>
      <c r="B16" s="154" t="s">
        <v>148</v>
      </c>
      <c r="C16" s="155" t="s">
        <v>149</v>
      </c>
      <c r="D16" s="155" t="s">
        <v>600</v>
      </c>
      <c r="E16" s="155" t="s">
        <v>601</v>
      </c>
      <c r="F16" s="146"/>
      <c r="G16" s="146"/>
    </row>
    <row r="17" spans="1:7" ht="11.25" customHeight="1">
      <c r="A17" s="156" t="s">
        <v>3</v>
      </c>
      <c r="B17" s="157" t="s">
        <v>21</v>
      </c>
      <c r="C17" s="158">
        <f>ORÇAMENTO!F17</f>
        <v>1696</v>
      </c>
      <c r="D17" s="158">
        <f>C17*D18</f>
        <v>1696</v>
      </c>
      <c r="E17" s="159"/>
      <c r="F17" s="146"/>
      <c r="G17" s="146"/>
    </row>
    <row r="18" spans="1:7" ht="10.5" customHeight="1">
      <c r="A18" s="156"/>
      <c r="B18" s="157"/>
      <c r="C18" s="158"/>
      <c r="D18" s="160">
        <v>1</v>
      </c>
      <c r="E18" s="578"/>
      <c r="F18" s="146"/>
      <c r="G18" s="146"/>
    </row>
    <row r="19" spans="1:7" ht="10.5" customHeight="1">
      <c r="A19" s="156" t="s">
        <v>4</v>
      </c>
      <c r="B19" s="157" t="s">
        <v>32</v>
      </c>
      <c r="C19" s="577">
        <f>ORÇAMENTO!F22</f>
        <v>271.96</v>
      </c>
      <c r="D19" s="158">
        <f>C19*D20</f>
        <v>271.96</v>
      </c>
      <c r="E19" s="578"/>
      <c r="F19" s="146"/>
      <c r="G19" s="146"/>
    </row>
    <row r="20" spans="1:7" ht="10.5" customHeight="1">
      <c r="A20" s="156"/>
      <c r="B20" s="157"/>
      <c r="C20" s="158"/>
      <c r="D20" s="160">
        <v>1</v>
      </c>
      <c r="E20" s="578"/>
      <c r="F20" s="146"/>
      <c r="G20" s="146"/>
    </row>
    <row r="21" spans="1:7" ht="10.5" customHeight="1">
      <c r="A21" s="156" t="s">
        <v>7</v>
      </c>
      <c r="B21" s="157" t="s">
        <v>184</v>
      </c>
      <c r="C21" s="577">
        <f>ORÇAMENTO!F24</f>
        <v>6237.77</v>
      </c>
      <c r="D21" s="158">
        <f>C21*D22</f>
        <v>4990.216</v>
      </c>
      <c r="E21" s="158">
        <f>C21*E22</f>
        <v>1247.554</v>
      </c>
      <c r="F21" s="146"/>
      <c r="G21" s="146"/>
    </row>
    <row r="22" spans="1:7" ht="10.5" customHeight="1">
      <c r="A22" s="156"/>
      <c r="B22" s="157"/>
      <c r="C22" s="158"/>
      <c r="D22" s="160">
        <v>0.8</v>
      </c>
      <c r="E22" s="160">
        <v>0.2</v>
      </c>
      <c r="F22" s="146"/>
      <c r="G22" s="146"/>
    </row>
    <row r="23" spans="1:7" ht="10.5" customHeight="1">
      <c r="A23" s="156" t="s">
        <v>9</v>
      </c>
      <c r="B23" s="157" t="s">
        <v>408</v>
      </c>
      <c r="C23" s="577">
        <f>ORÇAMENTO!F28</f>
        <v>8776.85</v>
      </c>
      <c r="D23" s="158"/>
      <c r="E23" s="158">
        <f>C23*E24</f>
        <v>8776.85</v>
      </c>
      <c r="F23" s="146"/>
      <c r="G23" s="146"/>
    </row>
    <row r="24" spans="1:7" ht="10.5" customHeight="1">
      <c r="A24" s="156"/>
      <c r="B24" s="157"/>
      <c r="C24" s="158"/>
      <c r="D24" s="578"/>
      <c r="E24" s="160">
        <v>1</v>
      </c>
      <c r="F24" s="146"/>
      <c r="G24" s="146"/>
    </row>
    <row r="25" spans="1:7" ht="10.5" customHeight="1">
      <c r="A25" s="156" t="s">
        <v>11</v>
      </c>
      <c r="B25" s="157" t="s">
        <v>19</v>
      </c>
      <c r="C25" s="577">
        <f>ORÇAMENTO!F41</f>
        <v>249.88</v>
      </c>
      <c r="D25" s="158">
        <f>C25*D26</f>
        <v>49.976</v>
      </c>
      <c r="E25" s="158">
        <f>C25*E26</f>
        <v>199.904</v>
      </c>
      <c r="F25" s="146"/>
      <c r="G25" s="146"/>
    </row>
    <row r="26" spans="1:7" ht="10.5" customHeight="1">
      <c r="A26" s="156"/>
      <c r="B26" s="157"/>
      <c r="C26" s="158"/>
      <c r="D26" s="160">
        <v>0.2</v>
      </c>
      <c r="E26" s="160">
        <v>0.8</v>
      </c>
      <c r="F26" s="146"/>
      <c r="G26" s="146"/>
    </row>
    <row r="27" spans="1:7" ht="11.25" customHeight="1">
      <c r="A27" s="156" t="s">
        <v>13</v>
      </c>
      <c r="B27" s="157" t="s">
        <v>20</v>
      </c>
      <c r="C27" s="158">
        <f>ORÇAMENTO!F44</f>
        <v>5035.8</v>
      </c>
      <c r="D27" s="158"/>
      <c r="E27" s="158">
        <f>C27*E28</f>
        <v>5035.8</v>
      </c>
      <c r="F27" s="146"/>
      <c r="G27" s="146"/>
    </row>
    <row r="28" spans="1:7" ht="10.5" customHeight="1">
      <c r="A28" s="156"/>
      <c r="B28" s="157"/>
      <c r="C28" s="158"/>
      <c r="D28" s="578"/>
      <c r="E28" s="160">
        <v>1</v>
      </c>
      <c r="F28" s="146"/>
      <c r="G28" s="146"/>
    </row>
    <row r="29" spans="1:7" ht="12.75">
      <c r="A29" s="161" t="s">
        <v>151</v>
      </c>
      <c r="B29" s="162"/>
      <c r="C29" s="163">
        <f>SUM(C17:C28)</f>
        <v>22268.260000000002</v>
      </c>
      <c r="D29" s="163">
        <f>D17+D19+D21+D25</f>
        <v>7008.152</v>
      </c>
      <c r="E29" s="163">
        <f>E21+E23+E25+E27</f>
        <v>15260.108</v>
      </c>
      <c r="F29" s="146"/>
      <c r="G29" s="254"/>
    </row>
    <row r="30" spans="1:7" ht="12.75">
      <c r="A30" s="123" t="s">
        <v>152</v>
      </c>
      <c r="B30" s="124"/>
      <c r="C30" s="164">
        <v>1</v>
      </c>
      <c r="D30" s="165">
        <f>D29/$C$29</f>
        <v>0.31471484525508503</v>
      </c>
      <c r="E30" s="165">
        <f>E29/$C$29</f>
        <v>0.6852851547449149</v>
      </c>
      <c r="F30" s="146"/>
      <c r="G30" s="146"/>
    </row>
    <row r="31" spans="1:7" ht="12.75">
      <c r="A31" s="166" t="s">
        <v>153</v>
      </c>
      <c r="B31" s="124"/>
      <c r="C31" s="127"/>
      <c r="D31" s="164">
        <f>D30</f>
        <v>0.31471484525508503</v>
      </c>
      <c r="E31" s="164">
        <f>D31+E30</f>
        <v>1</v>
      </c>
      <c r="F31" s="146"/>
      <c r="G31" s="146"/>
    </row>
  </sheetData>
  <mergeCells count="7">
    <mergeCell ref="A14:E14"/>
    <mergeCell ref="A5:E5"/>
    <mergeCell ref="A6:E6"/>
    <mergeCell ref="A9:E9"/>
    <mergeCell ref="B11:E11"/>
    <mergeCell ref="B12:E12"/>
    <mergeCell ref="C13:E13"/>
  </mergeCells>
  <printOptions horizontalCentered="1"/>
  <pageMargins left="0.25" right="0.25" top="0.75" bottom="0.75" header="0.3" footer="0.3"/>
  <pageSetup horizontalDpi="600" verticalDpi="600" orientation="portrait" paperSize="9" scale="1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Q78"/>
  <sheetViews>
    <sheetView view="pageBreakPreview" zoomScale="85" zoomScaleSheetLayoutView="85" workbookViewId="0" topLeftCell="A1">
      <selection activeCell="J37" sqref="J37"/>
    </sheetView>
  </sheetViews>
  <sheetFormatPr defaultColWidth="9.140625" defaultRowHeight="12.75"/>
  <cols>
    <col min="1" max="1" width="8.7109375" style="194" customWidth="1"/>
    <col min="2" max="2" width="51.421875" style="196" customWidth="1"/>
    <col min="3" max="3" width="6.7109375" style="197" customWidth="1"/>
    <col min="4" max="5" width="11.421875" style="195" customWidth="1"/>
    <col min="6" max="6" width="15.7109375" style="195" customWidth="1"/>
    <col min="7" max="7" width="27.00390625" style="195" customWidth="1"/>
    <col min="8" max="8" width="9.57421875" style="189" bestFit="1" customWidth="1"/>
    <col min="9" max="9" width="12.140625" style="189" bestFit="1" customWidth="1"/>
    <col min="10" max="11" width="9.140625" style="189" customWidth="1"/>
    <col min="12" max="12" width="9.57421875" style="189" bestFit="1" customWidth="1"/>
    <col min="13" max="16384" width="9.140625" style="189" customWidth="1"/>
  </cols>
  <sheetData>
    <row r="1" spans="1:8" ht="15">
      <c r="A1" s="245"/>
      <c r="B1" s="210"/>
      <c r="C1" s="212"/>
      <c r="D1" s="15"/>
      <c r="E1" s="15"/>
      <c r="F1" s="15"/>
      <c r="G1" s="15"/>
      <c r="H1" s="213"/>
    </row>
    <row r="2" spans="1:7" ht="12.75">
      <c r="A2" s="245"/>
      <c r="B2" s="210"/>
      <c r="C2" s="212"/>
      <c r="D2" s="15"/>
      <c r="E2" s="15"/>
      <c r="F2" s="15"/>
      <c r="G2" s="15"/>
    </row>
    <row r="3" spans="1:7" ht="12.75">
      <c r="A3" s="245"/>
      <c r="B3" s="210"/>
      <c r="C3" s="212"/>
      <c r="D3" s="15"/>
      <c r="E3" s="15"/>
      <c r="F3" s="15"/>
      <c r="G3" s="15"/>
    </row>
    <row r="4" spans="1:7" ht="12.75">
      <c r="A4" s="245"/>
      <c r="B4" s="210"/>
      <c r="C4" s="212"/>
      <c r="D4" s="15"/>
      <c r="E4" s="15"/>
      <c r="F4" s="15"/>
      <c r="G4" s="15"/>
    </row>
    <row r="5" spans="1:7" ht="12.75">
      <c r="A5" s="245"/>
      <c r="B5" s="210"/>
      <c r="C5" s="212"/>
      <c r="D5" s="15"/>
      <c r="E5" s="15"/>
      <c r="F5" s="15"/>
      <c r="G5" s="15"/>
    </row>
    <row r="6" spans="1:7" ht="18">
      <c r="A6" s="640" t="s">
        <v>31</v>
      </c>
      <c r="B6" s="640"/>
      <c r="C6" s="640"/>
      <c r="D6" s="640"/>
      <c r="E6" s="640"/>
      <c r="F6" s="640"/>
      <c r="G6" s="640"/>
    </row>
    <row r="7" spans="1:7" ht="18">
      <c r="A7" s="640" t="s">
        <v>84</v>
      </c>
      <c r="B7" s="640"/>
      <c r="C7" s="640"/>
      <c r="D7" s="640"/>
      <c r="E7" s="640"/>
      <c r="F7" s="640"/>
      <c r="G7" s="640"/>
    </row>
    <row r="8" spans="1:7" ht="15.75">
      <c r="A8" s="246"/>
      <c r="B8" s="211"/>
      <c r="C8" s="211"/>
      <c r="D8" s="20"/>
      <c r="E8" s="20"/>
      <c r="F8" s="18"/>
      <c r="G8" s="18"/>
    </row>
    <row r="9" spans="1:7" ht="12.75">
      <c r="A9" s="247" t="s">
        <v>42</v>
      </c>
      <c r="B9" s="624" t="s">
        <v>203</v>
      </c>
      <c r="C9" s="625"/>
      <c r="D9" s="625"/>
      <c r="E9" s="625"/>
      <c r="F9" s="625"/>
      <c r="G9" s="625"/>
    </row>
    <row r="10" spans="1:7" ht="12.75">
      <c r="A10" s="247" t="s">
        <v>41</v>
      </c>
      <c r="B10" s="624" t="s">
        <v>598</v>
      </c>
      <c r="C10" s="625"/>
      <c r="D10" s="625"/>
      <c r="E10" s="625"/>
      <c r="F10" s="625"/>
      <c r="G10" s="625"/>
    </row>
    <row r="11" spans="1:7" ht="30" customHeight="1">
      <c r="A11" s="247" t="s">
        <v>40</v>
      </c>
      <c r="B11" s="1"/>
      <c r="C11" s="626" t="s">
        <v>599</v>
      </c>
      <c r="D11" s="626"/>
      <c r="E11" s="626"/>
      <c r="F11" s="626"/>
      <c r="G11" s="626"/>
    </row>
    <row r="12" spans="1:7" ht="14.25" customHeight="1">
      <c r="A12" s="639" t="s">
        <v>602</v>
      </c>
      <c r="B12" s="639"/>
      <c r="C12" s="639"/>
      <c r="D12" s="639"/>
      <c r="E12" s="639"/>
      <c r="F12" s="639"/>
      <c r="G12" s="639"/>
    </row>
    <row r="13" spans="1:7" ht="14.25" customHeight="1" thickBot="1">
      <c r="A13" s="245"/>
      <c r="B13" s="210"/>
      <c r="C13" s="212"/>
      <c r="D13" s="15"/>
      <c r="E13" s="15"/>
      <c r="F13" s="15"/>
      <c r="G13" s="15"/>
    </row>
    <row r="14" spans="1:7" ht="16.5" thickBot="1">
      <c r="A14" s="633" t="s">
        <v>178</v>
      </c>
      <c r="B14" s="634"/>
      <c r="C14" s="634"/>
      <c r="D14" s="634"/>
      <c r="E14" s="634"/>
      <c r="F14" s="634"/>
      <c r="G14" s="635"/>
    </row>
    <row r="15" spans="1:7" ht="6.75" customHeight="1" thickBot="1">
      <c r="A15" s="211"/>
      <c r="B15" s="211"/>
      <c r="C15" s="211"/>
      <c r="D15" s="211"/>
      <c r="E15" s="211"/>
      <c r="F15" s="211"/>
      <c r="G15" s="211"/>
    </row>
    <row r="16" spans="1:7" ht="31.5" customHeight="1">
      <c r="A16" s="248" t="s">
        <v>0</v>
      </c>
      <c r="B16" s="190" t="s">
        <v>25</v>
      </c>
      <c r="C16" s="190" t="s">
        <v>1</v>
      </c>
      <c r="D16" s="636" t="s">
        <v>2</v>
      </c>
      <c r="E16" s="637"/>
      <c r="F16" s="637"/>
      <c r="G16" s="638"/>
    </row>
    <row r="17" spans="1:7" ht="31.5" customHeight="1">
      <c r="A17" s="249" t="s">
        <v>3</v>
      </c>
      <c r="B17" s="6" t="s">
        <v>21</v>
      </c>
      <c r="C17" s="191"/>
      <c r="D17" s="630"/>
      <c r="E17" s="631"/>
      <c r="F17" s="631"/>
      <c r="G17" s="632"/>
    </row>
    <row r="18" spans="1:7" ht="31.5" customHeight="1">
      <c r="A18" s="250" t="s">
        <v>65</v>
      </c>
      <c r="B18" s="201" t="s">
        <v>519</v>
      </c>
      <c r="C18" s="202" t="s">
        <v>106</v>
      </c>
      <c r="D18" s="627" t="s">
        <v>520</v>
      </c>
      <c r="E18" s="628"/>
      <c r="F18" s="628"/>
      <c r="G18" s="629"/>
    </row>
    <row r="19" spans="1:7" ht="31.5" customHeight="1">
      <c r="A19" s="250" t="s">
        <v>154</v>
      </c>
      <c r="B19" s="201" t="s">
        <v>523</v>
      </c>
      <c r="C19" s="202" t="s">
        <v>110</v>
      </c>
      <c r="D19" s="627" t="s">
        <v>455</v>
      </c>
      <c r="E19" s="628"/>
      <c r="F19" s="628"/>
      <c r="G19" s="629"/>
    </row>
    <row r="20" spans="1:7" ht="48" customHeight="1">
      <c r="A20" s="250" t="s">
        <v>522</v>
      </c>
      <c r="B20" s="201" t="s">
        <v>526</v>
      </c>
      <c r="C20" s="202" t="s">
        <v>137</v>
      </c>
      <c r="D20" s="627" t="s">
        <v>527</v>
      </c>
      <c r="E20" s="628"/>
      <c r="F20" s="628"/>
      <c r="G20" s="629"/>
    </row>
    <row r="21" spans="1:7" ht="41.25" customHeight="1">
      <c r="A21" s="250" t="s">
        <v>525</v>
      </c>
      <c r="B21" s="201" t="s">
        <v>529</v>
      </c>
      <c r="C21" s="202" t="s">
        <v>137</v>
      </c>
      <c r="D21" s="627" t="s">
        <v>530</v>
      </c>
      <c r="E21" s="628"/>
      <c r="F21" s="628"/>
      <c r="G21" s="629"/>
    </row>
    <row r="22" spans="1:17" ht="15.75">
      <c r="A22" s="249" t="s">
        <v>4</v>
      </c>
      <c r="B22" s="6" t="s">
        <v>32</v>
      </c>
      <c r="C22" s="191"/>
      <c r="D22" s="630"/>
      <c r="E22" s="631"/>
      <c r="F22" s="631"/>
      <c r="G22" s="632"/>
      <c r="H22" s="192"/>
      <c r="L22" s="214"/>
      <c r="M22" s="214"/>
      <c r="N22" s="214"/>
      <c r="O22" s="214"/>
      <c r="P22" s="214"/>
      <c r="Q22" s="214"/>
    </row>
    <row r="23" spans="1:11" ht="69" customHeight="1">
      <c r="A23" s="250" t="s">
        <v>6</v>
      </c>
      <c r="B23" s="201" t="s">
        <v>542</v>
      </c>
      <c r="C23" s="202" t="s">
        <v>131</v>
      </c>
      <c r="D23" s="627" t="s">
        <v>547</v>
      </c>
      <c r="E23" s="628"/>
      <c r="F23" s="628"/>
      <c r="G23" s="629"/>
      <c r="H23" s="84"/>
      <c r="K23" s="84"/>
    </row>
    <row r="24" spans="1:8" ht="15.75">
      <c r="A24" s="249" t="s">
        <v>7</v>
      </c>
      <c r="B24" s="6" t="s">
        <v>184</v>
      </c>
      <c r="C24" s="191"/>
      <c r="D24" s="630"/>
      <c r="E24" s="631"/>
      <c r="F24" s="631"/>
      <c r="G24" s="632"/>
      <c r="H24" s="192"/>
    </row>
    <row r="25" spans="1:8" ht="99.75" customHeight="1">
      <c r="A25" s="250" t="s">
        <v>8</v>
      </c>
      <c r="B25" s="200" t="s">
        <v>544</v>
      </c>
      <c r="C25" s="202" t="s">
        <v>106</v>
      </c>
      <c r="D25" s="627" t="s">
        <v>545</v>
      </c>
      <c r="E25" s="628"/>
      <c r="F25" s="628"/>
      <c r="G25" s="629"/>
      <c r="H25" s="192"/>
    </row>
    <row r="26" spans="1:8" ht="99.75" customHeight="1">
      <c r="A26" s="250" t="s">
        <v>22</v>
      </c>
      <c r="B26" s="200" t="s">
        <v>371</v>
      </c>
      <c r="C26" s="202" t="s">
        <v>137</v>
      </c>
      <c r="D26" s="627" t="s">
        <v>548</v>
      </c>
      <c r="E26" s="628"/>
      <c r="F26" s="628"/>
      <c r="G26" s="629"/>
      <c r="H26" s="192"/>
    </row>
    <row r="27" spans="1:8" ht="63">
      <c r="A27" s="250" t="s">
        <v>63</v>
      </c>
      <c r="B27" s="200" t="s">
        <v>550</v>
      </c>
      <c r="C27" s="202" t="s">
        <v>137</v>
      </c>
      <c r="D27" s="627" t="s">
        <v>551</v>
      </c>
      <c r="E27" s="628"/>
      <c r="F27" s="628"/>
      <c r="G27" s="629"/>
      <c r="H27" s="192"/>
    </row>
    <row r="28" spans="1:8" ht="15.75">
      <c r="A28" s="249" t="s">
        <v>9</v>
      </c>
      <c r="B28" s="6" t="s">
        <v>408</v>
      </c>
      <c r="C28" s="191"/>
      <c r="D28" s="630"/>
      <c r="E28" s="631"/>
      <c r="F28" s="631"/>
      <c r="G28" s="632"/>
      <c r="H28" s="192"/>
    </row>
    <row r="29" spans="1:8" ht="60" customHeight="1">
      <c r="A29" s="250" t="s">
        <v>10</v>
      </c>
      <c r="B29" s="200" t="s">
        <v>533</v>
      </c>
      <c r="C29" s="202" t="s">
        <v>110</v>
      </c>
      <c r="D29" s="627" t="s">
        <v>455</v>
      </c>
      <c r="E29" s="628"/>
      <c r="F29" s="628"/>
      <c r="G29" s="629"/>
      <c r="H29" s="192"/>
    </row>
    <row r="30" spans="1:8" ht="78.75">
      <c r="A30" s="250" t="s">
        <v>29</v>
      </c>
      <c r="B30" s="200" t="s">
        <v>539</v>
      </c>
      <c r="C30" s="202" t="s">
        <v>110</v>
      </c>
      <c r="D30" s="627" t="s">
        <v>455</v>
      </c>
      <c r="E30" s="628"/>
      <c r="F30" s="628"/>
      <c r="G30" s="629"/>
      <c r="H30" s="193"/>
    </row>
    <row r="31" spans="1:8" ht="47.25">
      <c r="A31" s="250" t="s">
        <v>38</v>
      </c>
      <c r="B31" s="574" t="s">
        <v>415</v>
      </c>
      <c r="C31" s="571" t="s">
        <v>110</v>
      </c>
      <c r="D31" s="627" t="s">
        <v>455</v>
      </c>
      <c r="E31" s="628"/>
      <c r="F31" s="628"/>
      <c r="G31" s="629"/>
      <c r="H31" s="192"/>
    </row>
    <row r="32" spans="1:8" ht="46.5" customHeight="1">
      <c r="A32" s="250" t="s">
        <v>534</v>
      </c>
      <c r="B32" s="574" t="s">
        <v>426</v>
      </c>
      <c r="C32" s="571" t="s">
        <v>110</v>
      </c>
      <c r="D32" s="627" t="s">
        <v>455</v>
      </c>
      <c r="E32" s="628"/>
      <c r="F32" s="628"/>
      <c r="G32" s="629"/>
      <c r="H32" s="192"/>
    </row>
    <row r="33" spans="1:8" ht="46.5" customHeight="1">
      <c r="A33" s="250" t="s">
        <v>535</v>
      </c>
      <c r="B33" s="574" t="s">
        <v>559</v>
      </c>
      <c r="C33" s="571" t="s">
        <v>110</v>
      </c>
      <c r="D33" s="627" t="s">
        <v>560</v>
      </c>
      <c r="E33" s="628"/>
      <c r="F33" s="628"/>
      <c r="G33" s="629"/>
      <c r="H33" s="192"/>
    </row>
    <row r="34" spans="1:8" ht="47.25">
      <c r="A34" s="250" t="s">
        <v>536</v>
      </c>
      <c r="B34" s="200" t="s">
        <v>532</v>
      </c>
      <c r="C34" s="571" t="s">
        <v>110</v>
      </c>
      <c r="D34" s="627" t="s">
        <v>561</v>
      </c>
      <c r="E34" s="628"/>
      <c r="F34" s="628"/>
      <c r="G34" s="629"/>
      <c r="H34" s="192"/>
    </row>
    <row r="35" spans="1:8" ht="31.5">
      <c r="A35" s="250" t="s">
        <v>554</v>
      </c>
      <c r="B35" s="200" t="s">
        <v>563</v>
      </c>
      <c r="C35" s="571" t="s">
        <v>110</v>
      </c>
      <c r="D35" s="627" t="s">
        <v>564</v>
      </c>
      <c r="E35" s="628"/>
      <c r="F35" s="628"/>
      <c r="G35" s="629"/>
      <c r="H35" s="192"/>
    </row>
    <row r="36" spans="1:8" ht="47.25">
      <c r="A36" s="250" t="s">
        <v>555</v>
      </c>
      <c r="B36" s="200" t="s">
        <v>603</v>
      </c>
      <c r="C36" s="571" t="s">
        <v>110</v>
      </c>
      <c r="D36" s="627" t="s">
        <v>455</v>
      </c>
      <c r="E36" s="628"/>
      <c r="F36" s="628"/>
      <c r="G36" s="629"/>
      <c r="H36" s="192"/>
    </row>
    <row r="37" spans="1:8" ht="79.5" customHeight="1">
      <c r="A37" s="250" t="s">
        <v>556</v>
      </c>
      <c r="B37" s="200" t="s">
        <v>442</v>
      </c>
      <c r="C37" s="571" t="s">
        <v>110</v>
      </c>
      <c r="D37" s="627" t="s">
        <v>570</v>
      </c>
      <c r="E37" s="628"/>
      <c r="F37" s="628"/>
      <c r="G37" s="629"/>
      <c r="H37" s="192"/>
    </row>
    <row r="38" spans="1:8" ht="47.25">
      <c r="A38" s="250" t="s">
        <v>557</v>
      </c>
      <c r="B38" s="200" t="s">
        <v>428</v>
      </c>
      <c r="C38" s="571" t="s">
        <v>106</v>
      </c>
      <c r="D38" s="627" t="s">
        <v>579</v>
      </c>
      <c r="E38" s="628"/>
      <c r="F38" s="628"/>
      <c r="G38" s="629"/>
      <c r="H38" s="192"/>
    </row>
    <row r="39" spans="1:8" ht="47.25">
      <c r="A39" s="250" t="s">
        <v>558</v>
      </c>
      <c r="B39" s="200" t="s">
        <v>573</v>
      </c>
      <c r="C39" s="571" t="s">
        <v>106</v>
      </c>
      <c r="D39" s="627" t="s">
        <v>580</v>
      </c>
      <c r="E39" s="628"/>
      <c r="F39" s="628"/>
      <c r="G39" s="629"/>
      <c r="H39" s="192"/>
    </row>
    <row r="40" spans="1:8" ht="63">
      <c r="A40" s="250" t="s">
        <v>572</v>
      </c>
      <c r="B40" s="200" t="s">
        <v>576</v>
      </c>
      <c r="C40" s="571" t="s">
        <v>106</v>
      </c>
      <c r="D40" s="627" t="s">
        <v>578</v>
      </c>
      <c r="E40" s="628"/>
      <c r="F40" s="628"/>
      <c r="G40" s="629"/>
      <c r="H40" s="192"/>
    </row>
    <row r="41" spans="1:8" ht="15.75">
      <c r="A41" s="249" t="s">
        <v>11</v>
      </c>
      <c r="B41" s="6" t="s">
        <v>19</v>
      </c>
      <c r="C41" s="191"/>
      <c r="D41" s="630"/>
      <c r="E41" s="631"/>
      <c r="F41" s="631"/>
      <c r="G41" s="632"/>
      <c r="H41" s="193"/>
    </row>
    <row r="42" spans="1:8" ht="45.75" customHeight="1">
      <c r="A42" s="579" t="s">
        <v>12</v>
      </c>
      <c r="B42" s="574" t="s">
        <v>587</v>
      </c>
      <c r="C42" s="571" t="s">
        <v>137</v>
      </c>
      <c r="D42" s="644" t="s">
        <v>581</v>
      </c>
      <c r="E42" s="645"/>
      <c r="F42" s="645"/>
      <c r="G42" s="646"/>
      <c r="H42" s="193"/>
    </row>
    <row r="43" spans="1:8" ht="15.75">
      <c r="A43" s="579" t="s">
        <v>394</v>
      </c>
      <c r="B43" s="576" t="s">
        <v>583</v>
      </c>
      <c r="C43" s="571" t="s">
        <v>137</v>
      </c>
      <c r="D43" s="641" t="s">
        <v>584</v>
      </c>
      <c r="E43" s="642"/>
      <c r="F43" s="642"/>
      <c r="G43" s="643"/>
      <c r="H43" s="193"/>
    </row>
    <row r="44" spans="1:9" ht="12.75" hidden="1">
      <c r="A44" s="579"/>
      <c r="B44" s="570"/>
      <c r="C44" s="571"/>
      <c r="D44" s="641"/>
      <c r="E44" s="642"/>
      <c r="F44" s="642"/>
      <c r="G44" s="643"/>
      <c r="H44" s="193"/>
      <c r="I44" s="198"/>
    </row>
    <row r="45" spans="1:9" ht="15.75">
      <c r="A45" s="249" t="s">
        <v>13</v>
      </c>
      <c r="B45" s="6" t="s">
        <v>20</v>
      </c>
      <c r="C45" s="191"/>
      <c r="D45" s="630"/>
      <c r="E45" s="631"/>
      <c r="F45" s="631"/>
      <c r="G45" s="632"/>
      <c r="H45" s="193"/>
      <c r="I45" s="199"/>
    </row>
    <row r="46" spans="1:10" ht="48.75" customHeight="1">
      <c r="A46" s="250" t="s">
        <v>14</v>
      </c>
      <c r="B46" s="572" t="s">
        <v>480</v>
      </c>
      <c r="C46" s="573" t="s">
        <v>137</v>
      </c>
      <c r="D46" s="644" t="s">
        <v>588</v>
      </c>
      <c r="E46" s="645"/>
      <c r="F46" s="645"/>
      <c r="G46" s="646"/>
      <c r="H46" s="193"/>
      <c r="I46" s="199"/>
      <c r="J46" s="189" t="s">
        <v>586</v>
      </c>
    </row>
    <row r="47" spans="1:9" ht="47.25">
      <c r="A47" s="250" t="s">
        <v>36</v>
      </c>
      <c r="B47" s="58" t="s">
        <v>590</v>
      </c>
      <c r="C47" s="573" t="s">
        <v>110</v>
      </c>
      <c r="D47" s="644" t="s">
        <v>591</v>
      </c>
      <c r="E47" s="645"/>
      <c r="F47" s="645"/>
      <c r="G47" s="646"/>
      <c r="H47" s="193"/>
      <c r="I47" s="199"/>
    </row>
    <row r="48" spans="1:9" ht="47.25">
      <c r="A48" s="250" t="s">
        <v>412</v>
      </c>
      <c r="B48" s="58" t="s">
        <v>593</v>
      </c>
      <c r="C48" s="573" t="s">
        <v>110</v>
      </c>
      <c r="D48" s="644" t="s">
        <v>461</v>
      </c>
      <c r="E48" s="645"/>
      <c r="F48" s="645"/>
      <c r="G48" s="646"/>
      <c r="H48" s="193"/>
      <c r="I48" s="199"/>
    </row>
    <row r="49" spans="1:8" ht="31.5">
      <c r="A49" s="250" t="s">
        <v>414</v>
      </c>
      <c r="B49" s="58" t="s">
        <v>595</v>
      </c>
      <c r="C49" s="571" t="s">
        <v>137</v>
      </c>
      <c r="D49" s="644" t="s">
        <v>596</v>
      </c>
      <c r="E49" s="645"/>
      <c r="F49" s="645"/>
      <c r="G49" s="646"/>
      <c r="H49" s="193"/>
    </row>
    <row r="50" spans="1:8" ht="15.75" thickBot="1">
      <c r="A50" s="580"/>
      <c r="B50" s="581"/>
      <c r="C50" s="582"/>
      <c r="D50" s="583"/>
      <c r="E50" s="583"/>
      <c r="F50" s="583"/>
      <c r="G50" s="584"/>
      <c r="H50" s="193"/>
    </row>
    <row r="51" ht="12.75">
      <c r="H51" s="193"/>
    </row>
    <row r="52" ht="79.5" customHeight="1">
      <c r="H52" s="193"/>
    </row>
    <row r="53" ht="48" customHeight="1">
      <c r="H53" s="193"/>
    </row>
    <row r="54" ht="75.75" customHeight="1">
      <c r="H54" s="193"/>
    </row>
    <row r="55" ht="45.75" customHeight="1">
      <c r="H55" s="193"/>
    </row>
    <row r="56" ht="75" customHeight="1">
      <c r="H56" s="193"/>
    </row>
    <row r="57" spans="1:8" ht="76.5" customHeight="1">
      <c r="A57" s="189"/>
      <c r="B57" s="189"/>
      <c r="C57" s="189"/>
      <c r="D57" s="189"/>
      <c r="E57" s="189"/>
      <c r="F57" s="189"/>
      <c r="G57" s="189"/>
      <c r="H57" s="193"/>
    </row>
    <row r="58" spans="1:8" ht="60.75" customHeight="1">
      <c r="A58" s="189"/>
      <c r="B58" s="189"/>
      <c r="C58" s="189"/>
      <c r="D58" s="189"/>
      <c r="E58" s="189"/>
      <c r="F58" s="189"/>
      <c r="G58" s="189"/>
      <c r="H58" s="193"/>
    </row>
    <row r="59" spans="1:8" ht="61.5" customHeight="1">
      <c r="A59" s="189"/>
      <c r="B59" s="189"/>
      <c r="C59" s="189"/>
      <c r="D59" s="189"/>
      <c r="E59" s="189"/>
      <c r="F59" s="189"/>
      <c r="G59" s="189"/>
      <c r="H59" s="193"/>
    </row>
    <row r="60" spans="1:8" ht="76.5" customHeight="1">
      <c r="A60" s="189"/>
      <c r="B60" s="189"/>
      <c r="C60" s="189"/>
      <c r="D60" s="189"/>
      <c r="E60" s="189"/>
      <c r="F60" s="189"/>
      <c r="G60" s="189"/>
      <c r="H60" s="193"/>
    </row>
    <row r="61" spans="1:8" ht="29.25" customHeight="1">
      <c r="A61" s="189"/>
      <c r="B61" s="189"/>
      <c r="C61" s="189"/>
      <c r="D61" s="189"/>
      <c r="E61" s="189"/>
      <c r="F61" s="189"/>
      <c r="G61" s="189"/>
      <c r="H61" s="193"/>
    </row>
    <row r="62" spans="1:8" ht="44.25" customHeight="1">
      <c r="A62" s="189"/>
      <c r="B62" s="189"/>
      <c r="C62" s="189"/>
      <c r="D62" s="189"/>
      <c r="E62" s="189"/>
      <c r="F62" s="189"/>
      <c r="G62" s="189"/>
      <c r="H62" s="192"/>
    </row>
    <row r="63" spans="1:8" ht="12.75">
      <c r="A63" s="189"/>
      <c r="B63" s="189"/>
      <c r="C63" s="189"/>
      <c r="D63" s="189"/>
      <c r="E63" s="189"/>
      <c r="F63" s="189"/>
      <c r="G63" s="189"/>
      <c r="H63" s="192"/>
    </row>
    <row r="64" spans="1:8" ht="96.75" customHeight="1">
      <c r="A64" s="189"/>
      <c r="B64" s="189"/>
      <c r="C64" s="189"/>
      <c r="D64" s="189"/>
      <c r="E64" s="189"/>
      <c r="F64" s="189"/>
      <c r="G64" s="189"/>
      <c r="H64" s="193"/>
    </row>
    <row r="65" spans="1:8" ht="12.75">
      <c r="A65" s="189"/>
      <c r="B65" s="189"/>
      <c r="C65" s="189"/>
      <c r="D65" s="189"/>
      <c r="E65" s="189"/>
      <c r="F65" s="189"/>
      <c r="G65" s="189"/>
      <c r="H65" s="192"/>
    </row>
    <row r="66" spans="1:8" ht="90" customHeight="1">
      <c r="A66" s="189"/>
      <c r="B66" s="189"/>
      <c r="C66" s="189"/>
      <c r="D66" s="189"/>
      <c r="E66" s="189"/>
      <c r="F66" s="189"/>
      <c r="G66" s="189"/>
      <c r="H66" s="192"/>
    </row>
    <row r="67" spans="1:8" ht="12.75">
      <c r="A67" s="189"/>
      <c r="B67" s="189"/>
      <c r="C67" s="189"/>
      <c r="D67" s="189"/>
      <c r="E67" s="189"/>
      <c r="F67" s="189"/>
      <c r="G67" s="189"/>
      <c r="H67" s="192"/>
    </row>
    <row r="68" spans="1:8" ht="30" customHeight="1">
      <c r="A68" s="189"/>
      <c r="B68" s="189"/>
      <c r="C68" s="189"/>
      <c r="D68" s="189"/>
      <c r="E68" s="189"/>
      <c r="F68" s="189"/>
      <c r="G68" s="189"/>
      <c r="H68" s="192"/>
    </row>
    <row r="69" spans="1:8" ht="12.75">
      <c r="A69" s="189"/>
      <c r="B69" s="189"/>
      <c r="C69" s="189"/>
      <c r="D69" s="189"/>
      <c r="E69" s="189"/>
      <c r="F69" s="189"/>
      <c r="G69" s="189"/>
      <c r="H69" s="193"/>
    </row>
    <row r="70" spans="1:8" ht="12.75">
      <c r="A70" s="189"/>
      <c r="B70" s="189"/>
      <c r="C70" s="189"/>
      <c r="D70" s="189"/>
      <c r="E70" s="189"/>
      <c r="F70" s="189"/>
      <c r="G70" s="189"/>
      <c r="H70" s="193"/>
    </row>
    <row r="71" spans="1:8" ht="30.75" customHeight="1">
      <c r="A71" s="189"/>
      <c r="B71" s="189"/>
      <c r="C71" s="189"/>
      <c r="D71" s="189"/>
      <c r="E71" s="189"/>
      <c r="F71" s="189"/>
      <c r="G71" s="189"/>
      <c r="H71" s="192"/>
    </row>
    <row r="73" spans="1:3" s="195" customFormat="1" ht="12.75">
      <c r="A73" s="194"/>
      <c r="B73" s="196"/>
      <c r="C73" s="197"/>
    </row>
    <row r="75" spans="1:3" s="195" customFormat="1" ht="12.75">
      <c r="A75" s="194"/>
      <c r="B75" s="196"/>
      <c r="C75" s="197"/>
    </row>
    <row r="77" spans="1:3" s="195" customFormat="1" ht="12.75">
      <c r="A77" s="194"/>
      <c r="B77" s="196"/>
      <c r="C77" s="197"/>
    </row>
    <row r="78" spans="1:3" s="195" customFormat="1" ht="12.75">
      <c r="A78" s="194"/>
      <c r="B78" s="196"/>
      <c r="C78" s="197"/>
    </row>
  </sheetData>
  <mergeCells count="41">
    <mergeCell ref="D44:G44"/>
    <mergeCell ref="D45:G45"/>
    <mergeCell ref="D49:G49"/>
    <mergeCell ref="D34:G34"/>
    <mergeCell ref="D41:G41"/>
    <mergeCell ref="D42:G42"/>
    <mergeCell ref="D43:G43"/>
    <mergeCell ref="D36:G36"/>
    <mergeCell ref="D37:G37"/>
    <mergeCell ref="D38:G38"/>
    <mergeCell ref="D39:G39"/>
    <mergeCell ref="D40:G40"/>
    <mergeCell ref="D46:G46"/>
    <mergeCell ref="D47:G47"/>
    <mergeCell ref="D48:G48"/>
    <mergeCell ref="D17:G17"/>
    <mergeCell ref="D18:G18"/>
    <mergeCell ref="D19:G19"/>
    <mergeCell ref="D20:G20"/>
    <mergeCell ref="D21:G21"/>
    <mergeCell ref="A14:G14"/>
    <mergeCell ref="D16:G16"/>
    <mergeCell ref="A12:G12"/>
    <mergeCell ref="A6:G6"/>
    <mergeCell ref="A7:G7"/>
    <mergeCell ref="B9:G9"/>
    <mergeCell ref="B10:G10"/>
    <mergeCell ref="C11:G11"/>
    <mergeCell ref="D33:G33"/>
    <mergeCell ref="D35:G35"/>
    <mergeCell ref="D27:G27"/>
    <mergeCell ref="D23:G23"/>
    <mergeCell ref="D22:G22"/>
    <mergeCell ref="D24:G24"/>
    <mergeCell ref="D25:G25"/>
    <mergeCell ref="D26:G26"/>
    <mergeCell ref="D28:G28"/>
    <mergeCell ref="D29:G29"/>
    <mergeCell ref="D30:G30"/>
    <mergeCell ref="D31:G31"/>
    <mergeCell ref="D32:G32"/>
  </mergeCells>
  <printOptions horizontalCentered="1"/>
  <pageMargins left="0.7874015748031497" right="0.5905511811023623" top="0.7874015748031497" bottom="0.9448818897637796" header="0.1968503937007874" footer="0.2362204724409449"/>
  <pageSetup fitToHeight="3" horizontalDpi="360" verticalDpi="360" orientation="portrait" paperSize="9" scale="65" r:id="rId2"/>
  <headerFooter alignWithMargins="0"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57"/>
  <sheetViews>
    <sheetView view="pageBreakPreview" zoomScaleSheetLayoutView="100" workbookViewId="0" topLeftCell="C18">
      <selection activeCell="J7" sqref="J7"/>
    </sheetView>
  </sheetViews>
  <sheetFormatPr defaultColWidth="9.140625" defaultRowHeight="12.75"/>
  <cols>
    <col min="1" max="1" width="9.7109375" style="33" customWidth="1"/>
    <col min="2" max="2" width="65.00390625" style="11" customWidth="1"/>
    <col min="3" max="3" width="6.00390625" style="10" customWidth="1"/>
    <col min="4" max="4" width="13.00390625" style="32" customWidth="1"/>
    <col min="5" max="5" width="13.140625" style="32" customWidth="1"/>
    <col min="6" max="6" width="20.7109375" style="32" customWidth="1"/>
    <col min="7" max="7" width="16.57421875" style="32" customWidth="1"/>
    <col min="8" max="8" width="14.7109375" style="88" customWidth="1"/>
    <col min="9" max="9" width="16.28125" style="32" customWidth="1"/>
    <col min="10" max="10" width="15.8515625" style="32" customWidth="1"/>
    <col min="11" max="11" width="9.7109375" style="4" bestFit="1" customWidth="1"/>
    <col min="12" max="12" width="12.8515625" style="4" bestFit="1" customWidth="1"/>
    <col min="13" max="14" width="9.7109375" style="4" bestFit="1" customWidth="1"/>
    <col min="15" max="16384" width="9.140625" style="4" customWidth="1"/>
  </cols>
  <sheetData>
    <row r="1" spans="1:10" ht="15">
      <c r="A1" s="245"/>
      <c r="B1" s="210"/>
      <c r="C1" s="212"/>
      <c r="D1" s="15"/>
      <c r="E1" s="15"/>
      <c r="F1" s="15"/>
      <c r="G1" s="15"/>
      <c r="H1" s="75"/>
      <c r="I1" s="15"/>
      <c r="J1" s="15"/>
    </row>
    <row r="2" spans="1:10" ht="12.75">
      <c r="A2" s="245"/>
      <c r="B2" s="210"/>
      <c r="C2" s="212"/>
      <c r="D2" s="15"/>
      <c r="E2" s="15"/>
      <c r="F2" s="15"/>
      <c r="G2" s="15"/>
      <c r="H2" s="75"/>
      <c r="I2" s="15"/>
      <c r="J2" s="15"/>
    </row>
    <row r="3" spans="1:10" ht="12.75">
      <c r="A3" s="245"/>
      <c r="B3" s="210"/>
      <c r="C3" s="212"/>
      <c r="D3" s="15"/>
      <c r="E3" s="15"/>
      <c r="F3" s="15"/>
      <c r="G3" s="15"/>
      <c r="H3" s="75"/>
      <c r="I3" s="15"/>
      <c r="J3" s="15"/>
    </row>
    <row r="4" spans="1:10" ht="12.75">
      <c r="A4" s="245"/>
      <c r="B4" s="210"/>
      <c r="C4" s="212"/>
      <c r="D4" s="15"/>
      <c r="E4" s="15"/>
      <c r="F4" s="15"/>
      <c r="G4" s="15"/>
      <c r="H4" s="75"/>
      <c r="I4" s="15"/>
      <c r="J4" s="15"/>
    </row>
    <row r="5" spans="1:10" ht="12.75">
      <c r="A5" s="245"/>
      <c r="B5" s="210"/>
      <c r="C5" s="212"/>
      <c r="D5" s="15"/>
      <c r="E5" s="15"/>
      <c r="F5" s="15"/>
      <c r="G5" s="15"/>
      <c r="H5" s="75"/>
      <c r="I5" s="15"/>
      <c r="J5" s="15"/>
    </row>
    <row r="6" spans="1:10" ht="18">
      <c r="A6" s="640" t="s">
        <v>31</v>
      </c>
      <c r="B6" s="640"/>
      <c r="C6" s="640"/>
      <c r="D6" s="640"/>
      <c r="E6" s="640"/>
      <c r="F6" s="640"/>
      <c r="G6" s="640"/>
      <c r="H6" s="76"/>
      <c r="I6" s="18"/>
      <c r="J6" s="18"/>
    </row>
    <row r="7" spans="1:10" ht="18">
      <c r="A7" s="640" t="s">
        <v>84</v>
      </c>
      <c r="B7" s="640"/>
      <c r="C7" s="640"/>
      <c r="D7" s="640"/>
      <c r="E7" s="640"/>
      <c r="F7" s="640"/>
      <c r="G7" s="640"/>
      <c r="H7" s="76"/>
      <c r="I7" s="18"/>
      <c r="J7" s="18"/>
    </row>
    <row r="8" spans="1:10" ht="5.25" customHeight="1">
      <c r="A8" s="246"/>
      <c r="B8" s="211"/>
      <c r="C8" s="211"/>
      <c r="D8" s="20"/>
      <c r="E8" s="20"/>
      <c r="F8" s="18"/>
      <c r="G8" s="18"/>
      <c r="H8" s="77"/>
      <c r="I8" s="18"/>
      <c r="J8" s="18"/>
    </row>
    <row r="9" spans="1:10" ht="12.75">
      <c r="A9" s="247" t="s">
        <v>42</v>
      </c>
      <c r="B9" s="624" t="s">
        <v>203</v>
      </c>
      <c r="C9" s="625"/>
      <c r="D9" s="625"/>
      <c r="E9" s="625"/>
      <c r="F9" s="625"/>
      <c r="G9" s="625"/>
      <c r="H9" s="78"/>
      <c r="I9" s="23"/>
      <c r="J9" s="23"/>
    </row>
    <row r="10" spans="1:10" ht="12.75">
      <c r="A10" s="247" t="s">
        <v>41</v>
      </c>
      <c r="B10" s="624" t="s">
        <v>598</v>
      </c>
      <c r="C10" s="625"/>
      <c r="D10" s="625"/>
      <c r="E10" s="625"/>
      <c r="F10" s="625"/>
      <c r="G10" s="625"/>
      <c r="H10" s="78"/>
      <c r="I10" s="23"/>
      <c r="J10" s="23"/>
    </row>
    <row r="11" spans="1:10" ht="33" customHeight="1">
      <c r="A11" s="247" t="s">
        <v>40</v>
      </c>
      <c r="B11" s="1"/>
      <c r="C11" s="626" t="s">
        <v>566</v>
      </c>
      <c r="D11" s="626"/>
      <c r="E11" s="626"/>
      <c r="F11" s="626"/>
      <c r="G11" s="626"/>
      <c r="H11" s="79"/>
      <c r="I11" s="23"/>
      <c r="J11" s="23"/>
    </row>
    <row r="12" spans="1:10" ht="14.25" customHeight="1">
      <c r="A12" s="639" t="s">
        <v>202</v>
      </c>
      <c r="B12" s="639"/>
      <c r="C12" s="639"/>
      <c r="D12" s="639"/>
      <c r="E12" s="639"/>
      <c r="F12" s="639"/>
      <c r="G12" s="639"/>
      <c r="H12" s="80"/>
      <c r="I12" s="15"/>
      <c r="J12" s="15"/>
    </row>
    <row r="13" spans="1:10" ht="14.25" customHeight="1" thickBot="1">
      <c r="A13" s="245"/>
      <c r="B13" s="210"/>
      <c r="C13" s="212"/>
      <c r="D13" s="15"/>
      <c r="E13" s="15"/>
      <c r="F13" s="15"/>
      <c r="G13" s="15"/>
      <c r="H13" s="75"/>
      <c r="I13" s="15"/>
      <c r="J13" s="15"/>
    </row>
    <row r="14" spans="1:10" ht="16.5" thickBot="1">
      <c r="A14" s="633" t="s">
        <v>179</v>
      </c>
      <c r="B14" s="634"/>
      <c r="C14" s="634"/>
      <c r="D14" s="634"/>
      <c r="E14" s="634"/>
      <c r="F14" s="634"/>
      <c r="G14" s="635"/>
      <c r="H14" s="77"/>
      <c r="I14" s="18"/>
      <c r="J14" s="18"/>
    </row>
    <row r="15" spans="1:10" ht="6.75" customHeight="1" thickBot="1">
      <c r="A15" s="63"/>
      <c r="B15" s="64"/>
      <c r="C15" s="64"/>
      <c r="D15" s="64"/>
      <c r="E15" s="64"/>
      <c r="F15" s="64"/>
      <c r="G15" s="65"/>
      <c r="H15" s="77"/>
      <c r="I15" s="15"/>
      <c r="J15" s="15"/>
    </row>
    <row r="16" spans="1:13" ht="38.25" customHeight="1">
      <c r="A16" s="38" t="s">
        <v>0</v>
      </c>
      <c r="B16" s="39" t="s">
        <v>25</v>
      </c>
      <c r="C16" s="39" t="s">
        <v>1</v>
      </c>
      <c r="D16" s="251" t="s">
        <v>2</v>
      </c>
      <c r="E16" s="41" t="s">
        <v>23</v>
      </c>
      <c r="F16" s="41" t="s">
        <v>24</v>
      </c>
      <c r="G16" s="42" t="s">
        <v>26</v>
      </c>
      <c r="H16" s="81"/>
      <c r="I16" s="29"/>
      <c r="J16" s="285">
        <v>1.24</v>
      </c>
      <c r="M16" s="71"/>
    </row>
    <row r="17" spans="1:13" ht="38.25" customHeight="1">
      <c r="A17" s="249" t="s">
        <v>3</v>
      </c>
      <c r="B17" s="6" t="s">
        <v>21</v>
      </c>
      <c r="C17" s="7"/>
      <c r="D17" s="7"/>
      <c r="E17" s="27"/>
      <c r="F17" s="9">
        <f>SUM(F18:F21)</f>
        <v>1696</v>
      </c>
      <c r="G17" s="37"/>
      <c r="H17" s="81"/>
      <c r="I17" s="29"/>
      <c r="J17" s="15">
        <f aca="true" t="shared" si="0" ref="J17:J22">TRUNC(I17*$J$16,2)</f>
        <v>0</v>
      </c>
      <c r="M17" s="71"/>
    </row>
    <row r="18" spans="1:13" ht="38.25" customHeight="1">
      <c r="A18" s="250" t="s">
        <v>65</v>
      </c>
      <c r="B18" s="48" t="str">
        <f>'MEMORIAL DE CÁLCULO'!B18</f>
        <v>Demolição de meio-fio granítico ou pre-moldado</v>
      </c>
      <c r="C18" s="54" t="s">
        <v>106</v>
      </c>
      <c r="D18" s="50">
        <v>64.85</v>
      </c>
      <c r="E18" s="55">
        <f>J18</f>
        <v>8.95</v>
      </c>
      <c r="F18" s="56">
        <f>ROUND(D18*E18,2)</f>
        <v>580.41</v>
      </c>
      <c r="G18" s="57" t="s">
        <v>521</v>
      </c>
      <c r="H18" s="81"/>
      <c r="I18" s="29">
        <v>7.22</v>
      </c>
      <c r="J18" s="15">
        <f t="shared" si="0"/>
        <v>8.95</v>
      </c>
      <c r="M18" s="71"/>
    </row>
    <row r="19" spans="1:13" ht="38.25" customHeight="1">
      <c r="A19" s="250" t="s">
        <v>154</v>
      </c>
      <c r="B19" s="48" t="str">
        <f>'MEMORIAL DE CÁLCULO'!B19</f>
        <v>Remoção de poste de ferro galvanizado simples (6.00 a 10.00 m) sem reaproveitamento</v>
      </c>
      <c r="C19" s="54" t="s">
        <v>110</v>
      </c>
      <c r="D19" s="50">
        <v>2</v>
      </c>
      <c r="E19" s="55">
        <f aca="true" t="shared" si="1" ref="E19:E21">J19</f>
        <v>32.76</v>
      </c>
      <c r="F19" s="56">
        <f aca="true" t="shared" si="2" ref="F19:F21">ROUND(D19*E19,2)</f>
        <v>65.52</v>
      </c>
      <c r="G19" s="57" t="s">
        <v>524</v>
      </c>
      <c r="H19" s="81"/>
      <c r="I19" s="29">
        <v>26.42</v>
      </c>
      <c r="J19" s="15">
        <f t="shared" si="0"/>
        <v>32.76</v>
      </c>
      <c r="M19" s="71"/>
    </row>
    <row r="20" spans="1:13" ht="38.25" customHeight="1">
      <c r="A20" s="250" t="s">
        <v>522</v>
      </c>
      <c r="B20" s="48" t="str">
        <f>'MEMORIAL DE CÁLCULO'!B20</f>
        <v>Demolição de pavimentação em paralelepípedo sem reaproveitamento</v>
      </c>
      <c r="C20" s="54" t="s">
        <v>137</v>
      </c>
      <c r="D20" s="50">
        <v>22.97</v>
      </c>
      <c r="E20" s="55">
        <f t="shared" si="1"/>
        <v>10.71</v>
      </c>
      <c r="F20" s="56">
        <f t="shared" si="2"/>
        <v>246.01</v>
      </c>
      <c r="G20" s="57" t="s">
        <v>528</v>
      </c>
      <c r="H20" s="81"/>
      <c r="I20" s="29">
        <v>8.64</v>
      </c>
      <c r="J20" s="15">
        <f t="shared" si="0"/>
        <v>10.71</v>
      </c>
      <c r="M20" s="71"/>
    </row>
    <row r="21" spans="1:13" ht="38.25" customHeight="1">
      <c r="A21" s="250" t="s">
        <v>525</v>
      </c>
      <c r="B21" s="48" t="str">
        <f>'MEMORIAL DE CÁLCULO'!B21</f>
        <v>Demolição manual de piso cimentado sobre lastro de concreto</v>
      </c>
      <c r="C21" s="54" t="s">
        <v>137</v>
      </c>
      <c r="D21" s="50">
        <v>34.45</v>
      </c>
      <c r="E21" s="55">
        <f t="shared" si="1"/>
        <v>23.34</v>
      </c>
      <c r="F21" s="56">
        <f t="shared" si="2"/>
        <v>804.06</v>
      </c>
      <c r="G21" s="57" t="s">
        <v>531</v>
      </c>
      <c r="H21" s="81"/>
      <c r="I21" s="29">
        <v>18.83</v>
      </c>
      <c r="J21" s="15">
        <f t="shared" si="0"/>
        <v>23.34</v>
      </c>
      <c r="M21" s="71"/>
    </row>
    <row r="22" spans="1:10" ht="15.75">
      <c r="A22" s="249" t="s">
        <v>4</v>
      </c>
      <c r="B22" s="6" t="s">
        <v>32</v>
      </c>
      <c r="C22" s="7"/>
      <c r="D22" s="7"/>
      <c r="E22" s="27"/>
      <c r="F22" s="9">
        <f>SUM(F23:F23)</f>
        <v>271.96</v>
      </c>
      <c r="G22" s="37"/>
      <c r="H22" s="83"/>
      <c r="I22" s="46"/>
      <c r="J22" s="15">
        <f t="shared" si="0"/>
        <v>0</v>
      </c>
    </row>
    <row r="23" spans="1:14" ht="31.5">
      <c r="A23" s="250" t="s">
        <v>6</v>
      </c>
      <c r="B23" s="48" t="str">
        <f>'MEMORIAL DE CÁLCULO'!B23</f>
        <v>ESCAVAÇÃO MANUAL DE VALA COM PROFUNDIDADE MENOR OU IGUAL A 1,30 M</v>
      </c>
      <c r="C23" s="54" t="s">
        <v>131</v>
      </c>
      <c r="D23" s="50">
        <v>4.49</v>
      </c>
      <c r="E23" s="55">
        <f>J23</f>
        <v>60.57</v>
      </c>
      <c r="F23" s="56">
        <f>ROUND(D23*E23,2)</f>
        <v>271.96</v>
      </c>
      <c r="G23" s="57" t="s">
        <v>543</v>
      </c>
      <c r="H23" s="84">
        <f>(45+45+34.7+34.7)*0.4*0.5</f>
        <v>31.880000000000003</v>
      </c>
      <c r="I23" s="46">
        <v>48.85</v>
      </c>
      <c r="J23" s="15">
        <f aca="true" t="shared" si="3" ref="J23:J27">TRUNC(I23*$J$16,2)</f>
        <v>60.57</v>
      </c>
      <c r="N23" s="71"/>
    </row>
    <row r="24" spans="1:12" ht="15.75">
      <c r="A24" s="249" t="s">
        <v>7</v>
      </c>
      <c r="B24" s="6" t="s">
        <v>184</v>
      </c>
      <c r="C24" s="7"/>
      <c r="D24" s="8"/>
      <c r="E24" s="27"/>
      <c r="F24" s="9">
        <f>SUM(F25:F27)</f>
        <v>6237.77</v>
      </c>
      <c r="G24" s="37"/>
      <c r="H24" s="83"/>
      <c r="I24" s="46"/>
      <c r="J24" s="15">
        <f t="shared" si="3"/>
        <v>0</v>
      </c>
      <c r="L24" s="4">
        <v>32.27</v>
      </c>
    </row>
    <row r="25" spans="1:12" ht="83.25" customHeight="1">
      <c r="A25" s="250" t="s">
        <v>8</v>
      </c>
      <c r="B25" s="58" t="str">
        <f>'MEMORIAL DE CÁLCULO'!B25</f>
        <v>ASSENTAMENTO DE GUIA (MEIO-FIO) EM TRECHO RETO, CONFECCIONADA EM CONCRETO PRÉ-FABRICADO, DIMENSÕES 100X15X13X30 CM (COMPRIMENTO X BASE INFERIOR X BASE SUPERIOR X ALTURA), PARA VIAS URBANAS (USO VIÁRIO)</v>
      </c>
      <c r="C25" s="54" t="s">
        <v>106</v>
      </c>
      <c r="D25" s="50">
        <v>69.52</v>
      </c>
      <c r="E25" s="55">
        <f>J25</f>
        <v>37.44</v>
      </c>
      <c r="F25" s="56">
        <f>ROUND(D25*E25,2)</f>
        <v>2602.83</v>
      </c>
      <c r="G25" s="57" t="s">
        <v>546</v>
      </c>
      <c r="H25" s="84"/>
      <c r="I25" s="46">
        <v>30.2</v>
      </c>
      <c r="J25" s="15">
        <f t="shared" si="3"/>
        <v>37.44</v>
      </c>
      <c r="L25" s="73"/>
    </row>
    <row r="26" spans="1:12" ht="83.25" customHeight="1">
      <c r="A26" s="250" t="s">
        <v>22</v>
      </c>
      <c r="B26" s="58" t="str">
        <f>'MEMORIAL DE CÁLCULO'!B26</f>
        <v>Alvenaria de vedação de blocos vazados de concreto de 9x19x39cm (espessura 9cm) de paredes com área líquida menor que 6m² sem vãos e argamassa de assentamento com preparo em betoneira.</v>
      </c>
      <c r="C26" s="54" t="s">
        <v>137</v>
      </c>
      <c r="D26" s="50">
        <v>11.5</v>
      </c>
      <c r="E26" s="55">
        <f>J26</f>
        <v>46.16</v>
      </c>
      <c r="F26" s="56">
        <f aca="true" t="shared" si="4" ref="F26:F27">ROUND(D26*E26,2)</f>
        <v>530.84</v>
      </c>
      <c r="G26" s="57" t="s">
        <v>549</v>
      </c>
      <c r="H26" s="84"/>
      <c r="I26" s="46">
        <v>37.23</v>
      </c>
      <c r="J26" s="15">
        <f t="shared" si="3"/>
        <v>46.16</v>
      </c>
      <c r="L26" s="73"/>
    </row>
    <row r="27" spans="1:12" ht="78.75" customHeight="1">
      <c r="A27" s="250" t="s">
        <v>63</v>
      </c>
      <c r="B27" s="58" t="str">
        <f>'MEMORIAL DE CÁLCULO'!B27</f>
        <v>EXECUÇÃO DE PASSEIO EM PISO INTERTRAVADO, COM BLOCO RETANGULAR COR NATURAL DE 20 X 10 CM, ESPESSURA 6 CM</v>
      </c>
      <c r="C27" s="54" t="s">
        <v>137</v>
      </c>
      <c r="D27" s="50">
        <v>52.98</v>
      </c>
      <c r="E27" s="55">
        <f>J27</f>
        <v>58.59</v>
      </c>
      <c r="F27" s="56">
        <f t="shared" si="4"/>
        <v>3104.1</v>
      </c>
      <c r="G27" s="57" t="s">
        <v>552</v>
      </c>
      <c r="H27" s="84"/>
      <c r="I27" s="46">
        <v>47.25</v>
      </c>
      <c r="J27" s="15">
        <f t="shared" si="3"/>
        <v>58.59</v>
      </c>
      <c r="L27" s="73"/>
    </row>
    <row r="28" spans="1:10" ht="34.5" customHeight="1">
      <c r="A28" s="249" t="s">
        <v>9</v>
      </c>
      <c r="B28" s="6" t="s">
        <v>408</v>
      </c>
      <c r="C28" s="7"/>
      <c r="D28" s="8"/>
      <c r="E28" s="27"/>
      <c r="F28" s="9">
        <f>SUM(F29:F40)</f>
        <v>8776.85</v>
      </c>
      <c r="G28" s="37"/>
      <c r="H28" s="83"/>
      <c r="I28" s="31"/>
      <c r="J28" s="15">
        <f aca="true" t="shared" si="5" ref="J28:J44">ROUND(I28*$J$16,2)</f>
        <v>0</v>
      </c>
    </row>
    <row r="29" spans="1:10" ht="34.5" customHeight="1">
      <c r="A29" s="250" t="s">
        <v>10</v>
      </c>
      <c r="B29" s="62" t="str">
        <f>'MEMORIAL DE CÁLCULO'!B29</f>
        <v>Quadro de medição monofásica (até 6 kva) com caixa em noril</v>
      </c>
      <c r="C29" s="54" t="s">
        <v>110</v>
      </c>
      <c r="D29" s="50">
        <v>1</v>
      </c>
      <c r="E29" s="55">
        <f>J29</f>
        <v>263.25</v>
      </c>
      <c r="F29" s="56">
        <f>ROUND(D29*E29,2)</f>
        <v>263.25</v>
      </c>
      <c r="G29" s="57" t="s">
        <v>537</v>
      </c>
      <c r="H29" s="84">
        <f>50*3</f>
        <v>150</v>
      </c>
      <c r="I29" s="31">
        <v>212.3</v>
      </c>
      <c r="J29" s="15">
        <f>TRUNC(I29*$J$16,2)</f>
        <v>263.25</v>
      </c>
    </row>
    <row r="30" spans="1:10" ht="64.5" customHeight="1">
      <c r="A30" s="250" t="s">
        <v>29</v>
      </c>
      <c r="B30" s="62" t="str">
        <f>'MEMORIAL DE CÁLCULO'!B30</f>
        <v>QUADRO DE DISTRIBUICAO DE ENERGIA DE EMBUTIR, EM CHAPA METALICA, PARA 3 DISJUNTORES TERMOMAGNETICOS MONOPOLARES SEM BARRAMENTO FORNECIMENTO E INSTALACAO</v>
      </c>
      <c r="C30" s="54" t="s">
        <v>110</v>
      </c>
      <c r="D30" s="50">
        <v>1</v>
      </c>
      <c r="E30" s="55">
        <f aca="true" t="shared" si="6" ref="E30:E48">J30</f>
        <v>64.1</v>
      </c>
      <c r="F30" s="56">
        <f aca="true" t="shared" si="7" ref="F30:F48">ROUND(D30*E30,2)</f>
        <v>64.1</v>
      </c>
      <c r="G30" s="57" t="s">
        <v>538</v>
      </c>
      <c r="H30" s="84"/>
      <c r="I30" s="31">
        <v>51.7</v>
      </c>
      <c r="J30" s="15">
        <f aca="true" t="shared" si="8" ref="J30:J40">TRUNC(I30*$J$16,2)</f>
        <v>64.1</v>
      </c>
    </row>
    <row r="31" spans="1:10" ht="34.5" customHeight="1">
      <c r="A31" s="250" t="s">
        <v>38</v>
      </c>
      <c r="B31" s="62" t="str">
        <f>'MEMORIAL DE CÁLCULO'!B31</f>
        <v>Disjuntor termomagnético monopolar padrão nema 10 a 30A 240V, fornecimento e instalação</v>
      </c>
      <c r="C31" s="54" t="s">
        <v>110</v>
      </c>
      <c r="D31" s="50">
        <v>2</v>
      </c>
      <c r="E31" s="55">
        <f t="shared" si="6"/>
        <v>14.08</v>
      </c>
      <c r="F31" s="56">
        <f t="shared" si="7"/>
        <v>28.16</v>
      </c>
      <c r="G31" s="57" t="s">
        <v>553</v>
      </c>
      <c r="H31" s="84"/>
      <c r="I31" s="31">
        <v>11.36</v>
      </c>
      <c r="J31" s="15">
        <f t="shared" si="8"/>
        <v>14.08</v>
      </c>
    </row>
    <row r="32" spans="1:10" ht="34.5" customHeight="1">
      <c r="A32" s="250" t="s">
        <v>534</v>
      </c>
      <c r="B32" s="62" t="str">
        <f>'MEMORIAL DE CÁLCULO'!B32</f>
        <v>Relé Fotoelétrico para comando de iluminação externa 220V/1000W - fornecimento e instalação</v>
      </c>
      <c r="C32" s="54" t="s">
        <v>110</v>
      </c>
      <c r="D32" s="50">
        <v>2</v>
      </c>
      <c r="E32" s="55">
        <f t="shared" si="6"/>
        <v>37.37</v>
      </c>
      <c r="F32" s="56">
        <f t="shared" si="7"/>
        <v>74.74</v>
      </c>
      <c r="G32" s="57" t="s">
        <v>540</v>
      </c>
      <c r="H32" s="84"/>
      <c r="I32" s="31">
        <v>30.14</v>
      </c>
      <c r="J32" s="15">
        <f t="shared" si="8"/>
        <v>37.37</v>
      </c>
    </row>
    <row r="33" spans="1:10" ht="34.5" customHeight="1">
      <c r="A33" s="250" t="s">
        <v>535</v>
      </c>
      <c r="B33" s="62" t="str">
        <f>'MEMORIAL DE CÁLCULO'!B33</f>
        <v>Caixa retangular 4" x 2" média (1,30 m do piso), pvc, instalada em parede - fornecimento e instalação</v>
      </c>
      <c r="C33" s="54" t="s">
        <v>110</v>
      </c>
      <c r="D33" s="50">
        <v>2</v>
      </c>
      <c r="E33" s="55">
        <f t="shared" si="6"/>
        <v>10.52</v>
      </c>
      <c r="F33" s="56">
        <f t="shared" si="7"/>
        <v>21.04</v>
      </c>
      <c r="G33" s="57" t="s">
        <v>562</v>
      </c>
      <c r="H33" s="84"/>
      <c r="I33" s="31">
        <v>8.49</v>
      </c>
      <c r="J33" s="15">
        <f t="shared" si="8"/>
        <v>10.52</v>
      </c>
    </row>
    <row r="34" spans="1:10" ht="34.5" customHeight="1">
      <c r="A34" s="250" t="s">
        <v>536</v>
      </c>
      <c r="B34" s="62" t="str">
        <f>'MEMORIAL DE CÁLCULO'!B34</f>
        <v>LUMINARIA DE LED PARA ILUMINACAO PUBLICA, DE 98 W ATE 137 W, INVOLUCRO EM ALUMINIO OU ACO INOX</v>
      </c>
      <c r="C34" s="54" t="s">
        <v>110</v>
      </c>
      <c r="D34" s="50">
        <v>4</v>
      </c>
      <c r="E34" s="55">
        <v>1038.54</v>
      </c>
      <c r="F34" s="56">
        <f t="shared" si="7"/>
        <v>4154.16</v>
      </c>
      <c r="G34" s="57" t="s">
        <v>541</v>
      </c>
      <c r="H34" s="84"/>
      <c r="I34" s="31"/>
      <c r="J34" s="15">
        <f t="shared" si="8"/>
        <v>0</v>
      </c>
    </row>
    <row r="35" spans="1:10" ht="34.5" customHeight="1">
      <c r="A35" s="250" t="s">
        <v>554</v>
      </c>
      <c r="B35" s="62" t="str">
        <f>'MEMORIAL DE CÁLCULO'!B35</f>
        <v>Caixa de passagem 20x20x12cm, em chapa aço galvanizado, embutida</v>
      </c>
      <c r="C35" s="54" t="s">
        <v>110</v>
      </c>
      <c r="D35" s="50">
        <v>2</v>
      </c>
      <c r="E35" s="55">
        <f t="shared" si="6"/>
        <v>61.83</v>
      </c>
      <c r="F35" s="56">
        <f t="shared" si="7"/>
        <v>123.66</v>
      </c>
      <c r="G35" s="57" t="s">
        <v>565</v>
      </c>
      <c r="H35" s="84"/>
      <c r="I35" s="31">
        <v>49.87</v>
      </c>
      <c r="J35" s="15">
        <f t="shared" si="8"/>
        <v>61.83</v>
      </c>
    </row>
    <row r="36" spans="1:10" ht="34.5" customHeight="1">
      <c r="A36" s="250" t="s">
        <v>555</v>
      </c>
      <c r="B36" s="62" t="str">
        <f>'MEMORIAL DE CÁLCULO'!B36</f>
        <v>Poste circular de concreto 8/200 - fornecimento e assentamento (para iluminação pública, com 8,00 m)</v>
      </c>
      <c r="C36" s="54" t="s">
        <v>110</v>
      </c>
      <c r="D36" s="50">
        <v>2</v>
      </c>
      <c r="E36" s="55">
        <f t="shared" si="6"/>
        <v>1462.58</v>
      </c>
      <c r="F36" s="56">
        <f t="shared" si="7"/>
        <v>2925.16</v>
      </c>
      <c r="G36" s="57" t="s">
        <v>569</v>
      </c>
      <c r="H36" s="84"/>
      <c r="I36" s="31">
        <v>1179.5</v>
      </c>
      <c r="J36" s="15">
        <f t="shared" si="8"/>
        <v>1462.58</v>
      </c>
    </row>
    <row r="37" spans="1:10" ht="56.25" customHeight="1">
      <c r="A37" s="250" t="s">
        <v>556</v>
      </c>
      <c r="B37" s="62" t="str">
        <f>'MEMORIAL DE CÁLCULO'!B37</f>
        <v>Braço p/ iluminacao de ruas em tubo aco galv 1" comp = 1,20m e inclinacao 25graus em relacao ao plano vertical p/ fixacao em poste ou parede - fornecimento e instalacao</v>
      </c>
      <c r="C37" s="54" t="s">
        <v>110</v>
      </c>
      <c r="D37" s="50">
        <v>4</v>
      </c>
      <c r="E37" s="55">
        <f t="shared" si="6"/>
        <v>105.15</v>
      </c>
      <c r="F37" s="56">
        <f t="shared" si="7"/>
        <v>420.6</v>
      </c>
      <c r="G37" s="57" t="s">
        <v>571</v>
      </c>
      <c r="H37" s="84"/>
      <c r="I37" s="31">
        <v>84.8</v>
      </c>
      <c r="J37" s="15">
        <f t="shared" si="8"/>
        <v>105.15</v>
      </c>
    </row>
    <row r="38" spans="1:10" ht="34.5" customHeight="1">
      <c r="A38" s="250" t="s">
        <v>557</v>
      </c>
      <c r="B38" s="62" t="str">
        <f>'MEMORIAL DE CÁLCULO'!B38</f>
        <v>Cabo de cobre flexível isolado, 2,5 mm², anti-chama 450/750 v, para circuitos terminais - fornecimento e instalação.</v>
      </c>
      <c r="C38" s="54" t="s">
        <v>106</v>
      </c>
      <c r="D38" s="50">
        <v>22.8</v>
      </c>
      <c r="E38" s="55">
        <f t="shared" si="6"/>
        <v>2.93</v>
      </c>
      <c r="F38" s="56">
        <f t="shared" si="7"/>
        <v>66.8</v>
      </c>
      <c r="G38" s="57" t="s">
        <v>574</v>
      </c>
      <c r="H38" s="84"/>
      <c r="I38" s="31">
        <v>2.37</v>
      </c>
      <c r="J38" s="15">
        <f t="shared" si="8"/>
        <v>2.93</v>
      </c>
    </row>
    <row r="39" spans="1:10" ht="34.5" customHeight="1">
      <c r="A39" s="250" t="s">
        <v>558</v>
      </c>
      <c r="B39" s="62" t="str">
        <f>'MEMORIAL DE CÁLCULO'!B39</f>
        <v>Cabo de cobre flexível isolado, 6 mm², anti-chama 450/750 v, para circuitos terminais - fornecimento e instalação.</v>
      </c>
      <c r="C39" s="54" t="s">
        <v>106</v>
      </c>
      <c r="D39" s="50">
        <v>65.1</v>
      </c>
      <c r="E39" s="55">
        <f t="shared" si="6"/>
        <v>6.53</v>
      </c>
      <c r="F39" s="56">
        <f t="shared" si="7"/>
        <v>425.1</v>
      </c>
      <c r="G39" s="57" t="s">
        <v>575</v>
      </c>
      <c r="H39" s="84"/>
      <c r="I39" s="31">
        <v>5.27</v>
      </c>
      <c r="J39" s="15">
        <f t="shared" si="8"/>
        <v>6.53</v>
      </c>
    </row>
    <row r="40" spans="1:10" ht="52.5" customHeight="1">
      <c r="A40" s="250" t="s">
        <v>572</v>
      </c>
      <c r="B40" s="62" t="str">
        <f>'MEMORIAL DE CÁLCULO'!B40</f>
        <v>ELETRODUTO FLEXÍVEL CORRUGADO, PVC, DN 25 MM (3/4"), PARA CIRCUITOS TERMINAIS, INSTALADO EM LAJE - FORNECIMENTO E INSTALAÇÃO</v>
      </c>
      <c r="C40" s="54" t="s">
        <v>106</v>
      </c>
      <c r="D40" s="50">
        <v>43.95</v>
      </c>
      <c r="E40" s="55">
        <f t="shared" si="6"/>
        <v>4.78</v>
      </c>
      <c r="F40" s="56">
        <f t="shared" si="7"/>
        <v>210.08</v>
      </c>
      <c r="G40" s="57" t="s">
        <v>577</v>
      </c>
      <c r="H40" s="84"/>
      <c r="I40" s="31">
        <v>3.86</v>
      </c>
      <c r="J40" s="15">
        <f t="shared" si="8"/>
        <v>4.78</v>
      </c>
    </row>
    <row r="41" spans="1:10" ht="34.5" customHeight="1">
      <c r="A41" s="249" t="s">
        <v>11</v>
      </c>
      <c r="B41" s="6" t="s">
        <v>19</v>
      </c>
      <c r="C41" s="7"/>
      <c r="D41" s="8"/>
      <c r="E41" s="575"/>
      <c r="F41" s="9">
        <f>SUM(F42:F43)</f>
        <v>249.88</v>
      </c>
      <c r="G41" s="37"/>
      <c r="H41" s="84"/>
      <c r="I41" s="31"/>
      <c r="J41" s="15">
        <f t="shared" si="5"/>
        <v>0</v>
      </c>
    </row>
    <row r="42" spans="1:10" ht="34.5" customHeight="1">
      <c r="A42" s="250" t="s">
        <v>12</v>
      </c>
      <c r="B42" s="89" t="str">
        <f>'MEMORIAL DE CÁLCULO'!B42</f>
        <v>Pintura acrílica em piso cimentado 02 demãos</v>
      </c>
      <c r="C42" s="54" t="s">
        <v>137</v>
      </c>
      <c r="D42" s="50">
        <v>66.98</v>
      </c>
      <c r="E42" s="55">
        <f t="shared" si="6"/>
        <v>2.69</v>
      </c>
      <c r="F42" s="56">
        <f t="shared" si="7"/>
        <v>180.18</v>
      </c>
      <c r="G42" s="57" t="s">
        <v>582</v>
      </c>
      <c r="H42" s="84"/>
      <c r="I42" s="31">
        <v>2.17</v>
      </c>
      <c r="J42" s="15">
        <f>TRUNC(I42*$J$16,2)</f>
        <v>2.69</v>
      </c>
    </row>
    <row r="43" spans="1:10" ht="34.5" customHeight="1">
      <c r="A43" s="250" t="s">
        <v>394</v>
      </c>
      <c r="B43" s="89" t="str">
        <f>'MEMORIAL DE CÁLCULO'!B43</f>
        <v>Caiação em meio fio</v>
      </c>
      <c r="C43" s="54" t="s">
        <v>137</v>
      </c>
      <c r="D43" s="50">
        <v>19.47</v>
      </c>
      <c r="E43" s="55">
        <f t="shared" si="6"/>
        <v>3.58</v>
      </c>
      <c r="F43" s="56">
        <f t="shared" si="7"/>
        <v>69.7</v>
      </c>
      <c r="G43" s="57" t="s">
        <v>585</v>
      </c>
      <c r="H43" s="84"/>
      <c r="I43" s="31">
        <v>2.89</v>
      </c>
      <c r="J43" s="15">
        <f>TRUNC(I43*$J$16,2)</f>
        <v>3.58</v>
      </c>
    </row>
    <row r="44" spans="1:10" ht="34.5" customHeight="1">
      <c r="A44" s="249" t="s">
        <v>13</v>
      </c>
      <c r="B44" s="6" t="s">
        <v>20</v>
      </c>
      <c r="C44" s="7"/>
      <c r="D44" s="8"/>
      <c r="E44" s="27"/>
      <c r="F44" s="9">
        <f>SUM(F45:F48)</f>
        <v>5035.8</v>
      </c>
      <c r="G44" s="37"/>
      <c r="H44" s="84"/>
      <c r="I44" s="31"/>
      <c r="J44" s="15">
        <f t="shared" si="5"/>
        <v>0</v>
      </c>
    </row>
    <row r="45" spans="1:10" ht="42" customHeight="1">
      <c r="A45" s="250" t="s">
        <v>14</v>
      </c>
      <c r="B45" s="89" t="str">
        <f>'MEMORIAL DE CÁLCULO'!B46</f>
        <v>Plantio de grama esmeralda em rolo</v>
      </c>
      <c r="C45" s="54" t="s">
        <v>137</v>
      </c>
      <c r="D45" s="50">
        <v>17.14</v>
      </c>
      <c r="E45" s="92">
        <f t="shared" si="6"/>
        <v>18.84</v>
      </c>
      <c r="F45" s="56">
        <f t="shared" si="7"/>
        <v>322.92</v>
      </c>
      <c r="G45" s="57" t="s">
        <v>589</v>
      </c>
      <c r="H45" s="84"/>
      <c r="I45" s="31">
        <v>15.2</v>
      </c>
      <c r="J45" s="15">
        <f>TRUNC(I45*$J$16,2)</f>
        <v>18.84</v>
      </c>
    </row>
    <row r="46" spans="1:10" ht="40.5" customHeight="1">
      <c r="A46" s="250" t="s">
        <v>36</v>
      </c>
      <c r="B46" s="89" t="str">
        <f>'MEMORIAL DE CÁLCULO'!B47</f>
        <v>PLANTIO DE ÁRVORE ORNAMENTAL COM ALTURA DE MUDA MAIOR QUE 2,00 M E MENOR OU IGUAL A 4,00 M</v>
      </c>
      <c r="C46" s="54" t="s">
        <v>110</v>
      </c>
      <c r="D46" s="50">
        <v>4</v>
      </c>
      <c r="E46" s="92">
        <f t="shared" si="6"/>
        <v>183.13</v>
      </c>
      <c r="F46" s="56">
        <f t="shared" si="7"/>
        <v>732.52</v>
      </c>
      <c r="G46" s="542" t="s">
        <v>592</v>
      </c>
      <c r="H46" s="84"/>
      <c r="I46" s="31">
        <v>147.69</v>
      </c>
      <c r="J46" s="15">
        <f aca="true" t="shared" si="9" ref="J46:J48">TRUNC(I46*$J$16,2)</f>
        <v>183.13</v>
      </c>
    </row>
    <row r="47" spans="1:10" ht="51.75" customHeight="1">
      <c r="A47" s="250" t="s">
        <v>412</v>
      </c>
      <c r="B47" s="89" t="str">
        <f>'MEMORIAL DE CÁLCULO'!B48</f>
        <v>Banco com encosto, compr=1,50m, largura=30cm, pé de ferro fundido e com 10 réguas de madeira, inclusive pintura</v>
      </c>
      <c r="C47" s="54" t="s">
        <v>110</v>
      </c>
      <c r="D47" s="50">
        <v>4</v>
      </c>
      <c r="E47" s="92">
        <f t="shared" si="6"/>
        <v>930</v>
      </c>
      <c r="F47" s="56">
        <f t="shared" si="7"/>
        <v>3720</v>
      </c>
      <c r="G47" s="542" t="s">
        <v>594</v>
      </c>
      <c r="H47" s="84"/>
      <c r="I47" s="31">
        <v>750</v>
      </c>
      <c r="J47" s="15">
        <f t="shared" si="9"/>
        <v>930</v>
      </c>
    </row>
    <row r="48" spans="1:10" ht="20.25" customHeight="1">
      <c r="A48" s="250" t="s">
        <v>414</v>
      </c>
      <c r="B48" s="89" t="str">
        <f>'MEMORIAL DE CÁLCULO'!B49</f>
        <v>Limpeza de ruas (varrição e remoção de entulhos)</v>
      </c>
      <c r="C48" s="54" t="s">
        <v>137</v>
      </c>
      <c r="D48" s="50">
        <v>542.42</v>
      </c>
      <c r="E48" s="92">
        <f t="shared" si="6"/>
        <v>0.48</v>
      </c>
      <c r="F48" s="56">
        <f t="shared" si="7"/>
        <v>260.36</v>
      </c>
      <c r="G48" s="542" t="s">
        <v>597</v>
      </c>
      <c r="H48" s="84"/>
      <c r="I48" s="31">
        <v>0.39</v>
      </c>
      <c r="J48" s="15">
        <f t="shared" si="9"/>
        <v>0.48</v>
      </c>
    </row>
    <row r="49" spans="1:10" ht="35.25" customHeight="1" thickBot="1">
      <c r="A49" s="175"/>
      <c r="B49" s="650" t="s">
        <v>76</v>
      </c>
      <c r="C49" s="651"/>
      <c r="D49" s="651"/>
      <c r="E49" s="652"/>
      <c r="F49" s="252">
        <f>F28+F24+F22+F17+F41+F44</f>
        <v>22268.260000000002</v>
      </c>
      <c r="G49" s="215"/>
      <c r="H49" s="85"/>
      <c r="I49" s="31"/>
      <c r="J49" s="15"/>
    </row>
    <row r="50" spans="1:17" ht="15.75" thickBot="1">
      <c r="A50" s="66"/>
      <c r="B50" s="67"/>
      <c r="C50" s="68"/>
      <c r="D50" s="69"/>
      <c r="E50" s="69"/>
      <c r="F50" s="69"/>
      <c r="G50" s="70"/>
      <c r="H50" s="86"/>
      <c r="I50" s="31"/>
      <c r="J50" s="15"/>
      <c r="P50" s="31">
        <v>83.37</v>
      </c>
      <c r="Q50" s="15">
        <f>ROUND(P50*$J$16,2)</f>
        <v>103.38</v>
      </c>
    </row>
    <row r="51" spans="1:17" ht="16.5" thickBot="1">
      <c r="A51" s="647"/>
      <c r="B51" s="648"/>
      <c r="C51" s="648"/>
      <c r="D51" s="648"/>
      <c r="E51" s="648"/>
      <c r="F51" s="648"/>
      <c r="G51" s="649"/>
      <c r="H51" s="87"/>
      <c r="I51" s="31"/>
      <c r="J51" s="15"/>
      <c r="P51" s="31">
        <v>59.96</v>
      </c>
      <c r="Q51" s="15">
        <f>ROUND(P51*$J$16,2)</f>
        <v>74.35</v>
      </c>
    </row>
    <row r="52" spans="2:17" ht="12.75">
      <c r="B52" s="11">
        <f>3/16*2.54</f>
        <v>0.47625</v>
      </c>
      <c r="I52" s="33"/>
      <c r="J52" s="11"/>
      <c r="K52" s="10"/>
      <c r="L52" s="32"/>
      <c r="M52" s="32"/>
      <c r="N52" s="32"/>
      <c r="O52" s="32"/>
      <c r="P52" s="32"/>
      <c r="Q52" s="32"/>
    </row>
    <row r="53" spans="9:17" ht="12.75">
      <c r="I53" s="33"/>
      <c r="J53" s="11"/>
      <c r="K53" s="10"/>
      <c r="L53" s="32"/>
      <c r="M53" s="32"/>
      <c r="N53" s="32"/>
      <c r="O53" s="32"/>
      <c r="P53" s="32"/>
      <c r="Q53" s="32"/>
    </row>
    <row r="54" spans="9:17" ht="12.75">
      <c r="I54" s="33"/>
      <c r="J54" s="11"/>
      <c r="K54" s="10"/>
      <c r="L54" s="32"/>
      <c r="M54" s="32"/>
      <c r="N54" s="32"/>
      <c r="O54" s="32"/>
      <c r="P54" s="32"/>
      <c r="Q54" s="32"/>
    </row>
    <row r="55" spans="9:17" ht="12.75">
      <c r="I55" s="33"/>
      <c r="J55" s="11"/>
      <c r="K55" s="10"/>
      <c r="L55" s="32"/>
      <c r="M55" s="32"/>
      <c r="N55" s="32"/>
      <c r="O55" s="32"/>
      <c r="P55" s="32"/>
      <c r="Q55" s="32"/>
    </row>
    <row r="56" spans="1:17" ht="18" customHeight="1">
      <c r="A56" s="4"/>
      <c r="B56" s="4"/>
      <c r="C56" s="4"/>
      <c r="D56" s="4"/>
      <c r="E56" s="4"/>
      <c r="F56" s="4"/>
      <c r="G56" s="4"/>
      <c r="H56" s="4"/>
      <c r="I56" s="33"/>
      <c r="J56" s="11"/>
      <c r="K56" s="10"/>
      <c r="L56" s="32"/>
      <c r="M56" s="32"/>
      <c r="N56" s="32"/>
      <c r="O56" s="32"/>
      <c r="P56" s="32"/>
      <c r="Q56" s="32"/>
    </row>
    <row r="57" spans="1:17" ht="12.75">
      <c r="A57" s="4"/>
      <c r="B57" s="4"/>
      <c r="C57" s="4"/>
      <c r="D57" s="4"/>
      <c r="E57" s="4"/>
      <c r="F57" s="4"/>
      <c r="G57" s="4"/>
      <c r="H57" s="4"/>
      <c r="I57" s="33"/>
      <c r="J57" s="11"/>
      <c r="K57" s="10"/>
      <c r="L57" s="32"/>
      <c r="M57" s="32"/>
      <c r="N57" s="32"/>
      <c r="O57" s="32"/>
      <c r="P57" s="32"/>
      <c r="Q57" s="32"/>
    </row>
  </sheetData>
  <mergeCells count="9">
    <mergeCell ref="A51:G51"/>
    <mergeCell ref="B49:E49"/>
    <mergeCell ref="A6:G6"/>
    <mergeCell ref="A7:G7"/>
    <mergeCell ref="A14:G14"/>
    <mergeCell ref="C11:G11"/>
    <mergeCell ref="B9:G9"/>
    <mergeCell ref="B10:G10"/>
    <mergeCell ref="A12:G12"/>
  </mergeCells>
  <printOptions horizontalCentered="1"/>
  <pageMargins left="0.03937007874015748" right="0" top="0.3937007874015748" bottom="0.9448818897637796" header="0.1968503937007874" footer="0.2362204724409449"/>
  <pageSetup fitToHeight="0" horizontalDpi="360" verticalDpi="360" orientation="portrait" paperSize="9" scale="71" r:id="rId2"/>
  <headerFooter alignWithMargins="0">
    <oddFooter>&amp;RPágina &amp;P de &amp;N</oddFooter>
  </headerFooter>
  <rowBreaks count="1" manualBreakCount="1">
    <brk id="49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M386"/>
  <sheetViews>
    <sheetView view="pageBreakPreview" zoomScale="60" workbookViewId="0" topLeftCell="A319">
      <selection activeCell="H388" sqref="H388"/>
    </sheetView>
  </sheetViews>
  <sheetFormatPr defaultColWidth="9.140625" defaultRowHeight="12.75"/>
  <cols>
    <col min="1" max="1" width="23.140625" style="368" customWidth="1"/>
    <col min="2" max="2" width="41.8515625" style="290" customWidth="1"/>
    <col min="3" max="3" width="11.8515625" style="290" bestFit="1" customWidth="1"/>
    <col min="4" max="4" width="10.7109375" style="290" bestFit="1" customWidth="1"/>
    <col min="5" max="5" width="11.28125" style="290" bestFit="1" customWidth="1"/>
    <col min="6" max="6" width="12.28125" style="290" customWidth="1"/>
    <col min="7" max="7" width="15.00390625" style="290" customWidth="1"/>
    <col min="8" max="8" width="14.140625" style="290" customWidth="1"/>
    <col min="9" max="9" width="9.140625" style="290" customWidth="1"/>
    <col min="10" max="10" width="9.28125" style="290" bestFit="1" customWidth="1"/>
    <col min="11" max="16384" width="9.140625" style="290" customWidth="1"/>
  </cols>
  <sheetData>
    <row r="1" spans="1:7" ht="22.5" customHeight="1">
      <c r="A1" s="287"/>
      <c r="B1" s="288"/>
      <c r="C1" s="288"/>
      <c r="D1" s="288"/>
      <c r="E1" s="288"/>
      <c r="F1" s="288"/>
      <c r="G1" s="289"/>
    </row>
    <row r="2" spans="1:10" ht="22.5" customHeight="1">
      <c r="A2" s="291"/>
      <c r="B2" s="292"/>
      <c r="C2" s="292"/>
      <c r="D2" s="292"/>
      <c r="E2" s="292"/>
      <c r="F2" s="292"/>
      <c r="G2" s="293"/>
      <c r="J2" s="294"/>
    </row>
    <row r="3" spans="1:7" ht="22.5" customHeight="1">
      <c r="A3" s="655" t="s">
        <v>204</v>
      </c>
      <c r="B3" s="656"/>
      <c r="C3" s="656"/>
      <c r="D3" s="656"/>
      <c r="E3" s="656"/>
      <c r="F3" s="656"/>
      <c r="G3" s="657"/>
    </row>
    <row r="4" spans="1:7" ht="22.5" customHeight="1">
      <c r="A4" s="655"/>
      <c r="B4" s="656"/>
      <c r="C4" s="656"/>
      <c r="D4" s="656"/>
      <c r="E4" s="656"/>
      <c r="F4" s="656"/>
      <c r="G4" s="657"/>
    </row>
    <row r="5" spans="1:7" ht="15">
      <c r="A5" s="655"/>
      <c r="B5" s="656"/>
      <c r="C5" s="656"/>
      <c r="D5" s="656"/>
      <c r="E5" s="656"/>
      <c r="F5" s="656"/>
      <c r="G5" s="657"/>
    </row>
    <row r="6" spans="1:7" ht="12.75">
      <c r="A6" s="655"/>
      <c r="B6" s="656"/>
      <c r="C6" s="656"/>
      <c r="D6" s="656"/>
      <c r="E6" s="656"/>
      <c r="F6" s="656"/>
      <c r="G6" s="657"/>
    </row>
    <row r="7" spans="1:8" ht="20.25" customHeight="1">
      <c r="A7" s="655"/>
      <c r="B7" s="656"/>
      <c r="C7" s="656"/>
      <c r="D7" s="656"/>
      <c r="E7" s="656"/>
      <c r="F7" s="656"/>
      <c r="G7" s="657"/>
      <c r="H7" s="295"/>
    </row>
    <row r="8" spans="1:7" ht="15" customHeight="1" hidden="1" thickBot="1">
      <c r="A8" s="655"/>
      <c r="B8" s="656"/>
      <c r="C8" s="656"/>
      <c r="D8" s="656"/>
      <c r="E8" s="656"/>
      <c r="F8" s="656"/>
      <c r="G8" s="657"/>
    </row>
    <row r="9" spans="1:7" ht="15.75" customHeight="1" thickBot="1">
      <c r="A9" s="655"/>
      <c r="B9" s="656"/>
      <c r="C9" s="656"/>
      <c r="D9" s="656"/>
      <c r="E9" s="656"/>
      <c r="F9" s="656"/>
      <c r="G9" s="657"/>
    </row>
    <row r="10" spans="1:8" ht="16.5" thickBot="1">
      <c r="A10" s="296"/>
      <c r="B10" s="299" t="s">
        <v>205</v>
      </c>
      <c r="C10" s="298">
        <v>0.8729</v>
      </c>
      <c r="D10" s="299"/>
      <c r="E10" s="300"/>
      <c r="F10" s="297" t="s">
        <v>206</v>
      </c>
      <c r="G10" s="301">
        <v>0.24</v>
      </c>
      <c r="H10" s="302"/>
    </row>
    <row r="11" spans="1:8" ht="15" customHeight="1" thickBot="1">
      <c r="A11" s="296"/>
      <c r="B11" s="297"/>
      <c r="C11" s="298"/>
      <c r="D11" s="299"/>
      <c r="E11" s="658"/>
      <c r="F11" s="658"/>
      <c r="G11" s="659"/>
      <c r="H11" s="302"/>
    </row>
    <row r="12" spans="1:7" ht="39.75" customHeight="1" thickBot="1">
      <c r="A12" s="660" t="s">
        <v>207</v>
      </c>
      <c r="B12" s="653"/>
      <c r="C12" s="653"/>
      <c r="D12" s="653"/>
      <c r="E12" s="653"/>
      <c r="F12" s="653"/>
      <c r="G12" s="654"/>
    </row>
    <row r="13" spans="1:7" ht="26.25" customHeight="1">
      <c r="A13" s="661" t="s">
        <v>208</v>
      </c>
      <c r="B13" s="662"/>
      <c r="C13" s="662"/>
      <c r="D13" s="662"/>
      <c r="E13" s="662"/>
      <c r="F13" s="662"/>
      <c r="G13" s="663"/>
    </row>
    <row r="14" spans="1:7" ht="16.5" customHeight="1" thickBot="1">
      <c r="A14" s="664"/>
      <c r="B14" s="665"/>
      <c r="C14" s="665"/>
      <c r="D14" s="665"/>
      <c r="E14" s="665"/>
      <c r="F14" s="665"/>
      <c r="G14" s="666"/>
    </row>
    <row r="15" spans="1:7" ht="12" customHeight="1">
      <c r="A15" s="291"/>
      <c r="B15" s="303"/>
      <c r="C15" s="303"/>
      <c r="D15" s="303"/>
      <c r="E15" s="303"/>
      <c r="F15" s="303"/>
      <c r="G15" s="304"/>
    </row>
    <row r="16" spans="1:7" ht="12" customHeight="1" thickBot="1">
      <c r="A16" s="291"/>
      <c r="B16" s="303"/>
      <c r="C16" s="303"/>
      <c r="D16" s="303"/>
      <c r="E16" s="303"/>
      <c r="F16" s="303"/>
      <c r="G16" s="304"/>
    </row>
    <row r="17" spans="1:7" ht="15.75" customHeight="1" hidden="1">
      <c r="A17" s="305"/>
      <c r="B17" s="667" t="s">
        <v>209</v>
      </c>
      <c r="C17" s="667"/>
      <c r="D17" s="667"/>
      <c r="E17" s="667"/>
      <c r="F17" s="667"/>
      <c r="G17" s="306" t="s">
        <v>210</v>
      </c>
    </row>
    <row r="18" spans="1:7" ht="16.5" hidden="1" thickBot="1">
      <c r="A18" s="307"/>
      <c r="B18" s="308" t="s">
        <v>211</v>
      </c>
      <c r="C18" s="309"/>
      <c r="D18" s="309"/>
      <c r="E18" s="309"/>
      <c r="F18" s="309"/>
      <c r="G18" s="310"/>
    </row>
    <row r="19" spans="1:7" ht="16.5" hidden="1" thickBot="1">
      <c r="A19" s="296"/>
      <c r="B19" s="653" t="s">
        <v>212</v>
      </c>
      <c r="C19" s="653"/>
      <c r="D19" s="653"/>
      <c r="E19" s="653"/>
      <c r="F19" s="653"/>
      <c r="G19" s="654"/>
    </row>
    <row r="20" spans="1:7" ht="18" customHeight="1" hidden="1" thickBot="1">
      <c r="A20" s="296"/>
      <c r="B20" s="311"/>
      <c r="C20" s="311"/>
      <c r="D20" s="312"/>
      <c r="E20" s="313" t="s">
        <v>213</v>
      </c>
      <c r="F20" s="313"/>
      <c r="G20" s="304"/>
    </row>
    <row r="21" spans="1:7" ht="34.5" customHeight="1" hidden="1" thickBot="1">
      <c r="A21" s="314"/>
      <c r="B21" s="312" t="s">
        <v>93</v>
      </c>
      <c r="C21" s="315" t="s">
        <v>190</v>
      </c>
      <c r="D21" s="315" t="s">
        <v>95</v>
      </c>
      <c r="E21" s="315" t="s">
        <v>214</v>
      </c>
      <c r="F21" s="315" t="s">
        <v>96</v>
      </c>
      <c r="G21" s="316" t="s">
        <v>215</v>
      </c>
    </row>
    <row r="22" spans="1:7" ht="15.75" hidden="1">
      <c r="A22" s="317" t="s">
        <v>216</v>
      </c>
      <c r="B22" s="318" t="s">
        <v>98</v>
      </c>
      <c r="C22" s="319" t="s">
        <v>113</v>
      </c>
      <c r="D22" s="319"/>
      <c r="E22" s="319"/>
      <c r="F22" s="319"/>
      <c r="G22" s="320">
        <v>0</v>
      </c>
    </row>
    <row r="23" spans="1:7" ht="45.75" hidden="1">
      <c r="A23" s="321" t="s">
        <v>217</v>
      </c>
      <c r="B23" s="322" t="s">
        <v>218</v>
      </c>
      <c r="C23" s="319" t="s">
        <v>113</v>
      </c>
      <c r="D23" s="319"/>
      <c r="E23" s="319"/>
      <c r="F23" s="319"/>
      <c r="G23" s="320"/>
    </row>
    <row r="24" spans="1:7" ht="15.75" hidden="1">
      <c r="A24" s="323"/>
      <c r="B24" s="324" t="s">
        <v>100</v>
      </c>
      <c r="C24" s="325" t="s">
        <v>113</v>
      </c>
      <c r="D24" s="325"/>
      <c r="E24" s="325"/>
      <c r="F24" s="325"/>
      <c r="G24" s="326">
        <f>SUM(F25:F27)</f>
        <v>0.31815000000000004</v>
      </c>
    </row>
    <row r="25" spans="1:7" ht="15.75" hidden="1">
      <c r="A25" s="327">
        <v>90781</v>
      </c>
      <c r="B25" s="324" t="s">
        <v>219</v>
      </c>
      <c r="C25" s="325" t="s">
        <v>220</v>
      </c>
      <c r="D25" s="328">
        <v>0.005</v>
      </c>
      <c r="E25" s="329">
        <v>21.92</v>
      </c>
      <c r="F25" s="329">
        <f>D25*E25</f>
        <v>0.10960000000000002</v>
      </c>
      <c r="G25" s="326"/>
    </row>
    <row r="26" spans="1:7" ht="15.75" hidden="1">
      <c r="A26" s="330">
        <v>88316</v>
      </c>
      <c r="B26" s="324" t="s">
        <v>103</v>
      </c>
      <c r="C26" s="325" t="s">
        <v>220</v>
      </c>
      <c r="D26" s="329">
        <v>0.01</v>
      </c>
      <c r="E26" s="329">
        <v>11.77</v>
      </c>
      <c r="F26" s="329">
        <f>D26*E26</f>
        <v>0.1177</v>
      </c>
      <c r="G26" s="326"/>
    </row>
    <row r="27" spans="1:7" ht="15.75" hidden="1">
      <c r="A27" s="331" t="s">
        <v>221</v>
      </c>
      <c r="B27" s="324" t="s">
        <v>222</v>
      </c>
      <c r="C27" s="325" t="s">
        <v>220</v>
      </c>
      <c r="D27" s="328">
        <v>0.005</v>
      </c>
      <c r="E27" s="329">
        <v>18.17</v>
      </c>
      <c r="F27" s="329">
        <f>D27*E27</f>
        <v>0.09085000000000001</v>
      </c>
      <c r="G27" s="326"/>
    </row>
    <row r="28" spans="1:7" ht="15.75" hidden="1">
      <c r="A28" s="330"/>
      <c r="B28" s="324" t="s">
        <v>104</v>
      </c>
      <c r="C28" s="325" t="s">
        <v>113</v>
      </c>
      <c r="D28" s="329"/>
      <c r="E28" s="329"/>
      <c r="F28" s="329"/>
      <c r="G28" s="332">
        <f>F29+F30+F31</f>
        <v>0.07049500000000002</v>
      </c>
    </row>
    <row r="29" spans="1:7" ht="30" customHeight="1" hidden="1">
      <c r="A29" s="330">
        <v>4496</v>
      </c>
      <c r="B29" s="324" t="s">
        <v>223</v>
      </c>
      <c r="C29" s="325" t="s">
        <v>106</v>
      </c>
      <c r="D29" s="328">
        <v>0.024</v>
      </c>
      <c r="E29" s="329">
        <v>2.7</v>
      </c>
      <c r="F29" s="329">
        <f>D29*E29</f>
        <v>0.06480000000000001</v>
      </c>
      <c r="G29" s="332"/>
    </row>
    <row r="30" spans="1:7" ht="31.5" customHeight="1" hidden="1">
      <c r="A30" s="330">
        <v>5074</v>
      </c>
      <c r="B30" s="324" t="s">
        <v>224</v>
      </c>
      <c r="C30" s="325" t="s">
        <v>128</v>
      </c>
      <c r="D30" s="333">
        <v>0.0005</v>
      </c>
      <c r="E30" s="329">
        <v>11.39</v>
      </c>
      <c r="F30" s="328">
        <f>D30*E30</f>
        <v>0.005695</v>
      </c>
      <c r="G30" s="332"/>
    </row>
    <row r="31" spans="1:7" ht="10.5" customHeight="1" hidden="1">
      <c r="A31" s="323"/>
      <c r="B31" s="324"/>
      <c r="C31" s="325"/>
      <c r="D31" s="329"/>
      <c r="E31" s="329"/>
      <c r="F31" s="329"/>
      <c r="G31" s="332"/>
    </row>
    <row r="32" spans="1:7" ht="20.25" customHeight="1" hidden="1">
      <c r="A32" s="334"/>
      <c r="B32" s="335" t="s">
        <v>225</v>
      </c>
      <c r="C32" s="336" t="s">
        <v>113</v>
      </c>
      <c r="D32" s="337"/>
      <c r="E32" s="337"/>
      <c r="F32" s="337"/>
      <c r="G32" s="338">
        <f>SUM(G22:G29)</f>
        <v>0.3886450000000001</v>
      </c>
    </row>
    <row r="33" spans="1:7" ht="15.75" hidden="1">
      <c r="A33" s="323"/>
      <c r="B33" s="324" t="s">
        <v>226</v>
      </c>
      <c r="C33" s="325" t="s">
        <v>113</v>
      </c>
      <c r="D33" s="329"/>
      <c r="E33" s="329"/>
      <c r="F33" s="329"/>
      <c r="G33" s="332">
        <f>G32*$G$10</f>
        <v>0.09327480000000002</v>
      </c>
    </row>
    <row r="34" spans="1:7" ht="15.75" hidden="1">
      <c r="A34" s="291"/>
      <c r="B34" s="339"/>
      <c r="C34" s="340"/>
      <c r="D34" s="340"/>
      <c r="E34" s="340"/>
      <c r="F34" s="340"/>
      <c r="G34" s="341"/>
    </row>
    <row r="35" spans="1:7" ht="15.75" hidden="1">
      <c r="A35" s="334"/>
      <c r="B35" s="318" t="s">
        <v>227</v>
      </c>
      <c r="C35" s="319" t="s">
        <v>113</v>
      </c>
      <c r="D35" s="319"/>
      <c r="E35" s="319"/>
      <c r="F35" s="319"/>
      <c r="G35" s="342">
        <f>SUM(G32:G33)</f>
        <v>0.4819198000000001</v>
      </c>
    </row>
    <row r="36" spans="1:7" ht="15.75" hidden="1" thickBot="1">
      <c r="A36" s="343"/>
      <c r="B36" s="344"/>
      <c r="C36" s="344"/>
      <c r="D36" s="344"/>
      <c r="E36" s="344"/>
      <c r="F36" s="344"/>
      <c r="G36" s="345"/>
    </row>
    <row r="37" spans="1:8" ht="15.75" customHeight="1" hidden="1">
      <c r="A37" s="346"/>
      <c r="B37" s="667" t="s">
        <v>228</v>
      </c>
      <c r="C37" s="667"/>
      <c r="D37" s="667"/>
      <c r="E37" s="667"/>
      <c r="F37" s="667"/>
      <c r="G37" s="306" t="s">
        <v>229</v>
      </c>
      <c r="H37" s="347"/>
    </row>
    <row r="38" spans="1:8" ht="16.5" hidden="1" thickBot="1">
      <c r="A38" s="348"/>
      <c r="B38" s="308" t="s">
        <v>211</v>
      </c>
      <c r="C38" s="309"/>
      <c r="D38" s="309"/>
      <c r="E38" s="309"/>
      <c r="F38" s="309"/>
      <c r="G38" s="310"/>
      <c r="H38" s="347"/>
    </row>
    <row r="39" spans="1:7" ht="20.25" customHeight="1" hidden="1" thickBot="1">
      <c r="A39" s="296"/>
      <c r="B39" s="653" t="s">
        <v>212</v>
      </c>
      <c r="C39" s="653"/>
      <c r="D39" s="653"/>
      <c r="E39" s="653"/>
      <c r="F39" s="653"/>
      <c r="G39" s="654"/>
    </row>
    <row r="40" spans="1:7" ht="16.5" customHeight="1" hidden="1" thickBot="1">
      <c r="A40" s="296"/>
      <c r="B40" s="311"/>
      <c r="C40" s="311"/>
      <c r="D40" s="312"/>
      <c r="E40" s="313" t="s">
        <v>213</v>
      </c>
      <c r="F40" s="313"/>
      <c r="G40" s="304"/>
    </row>
    <row r="41" spans="1:7" ht="16.5" hidden="1" thickBot="1">
      <c r="A41" s="296"/>
      <c r="B41" s="312" t="s">
        <v>93</v>
      </c>
      <c r="C41" s="315" t="s">
        <v>190</v>
      </c>
      <c r="D41" s="315" t="s">
        <v>95</v>
      </c>
      <c r="E41" s="315" t="s">
        <v>214</v>
      </c>
      <c r="F41" s="315" t="s">
        <v>96</v>
      </c>
      <c r="G41" s="316" t="s">
        <v>215</v>
      </c>
    </row>
    <row r="42" spans="1:7" ht="15.75" hidden="1">
      <c r="A42" s="317" t="s">
        <v>216</v>
      </c>
      <c r="B42" s="318" t="s">
        <v>98</v>
      </c>
      <c r="C42" s="319" t="s">
        <v>113</v>
      </c>
      <c r="D42" s="319"/>
      <c r="E42" s="319"/>
      <c r="F42" s="319"/>
      <c r="G42" s="320">
        <v>0</v>
      </c>
    </row>
    <row r="43" spans="1:7" ht="45.75" hidden="1">
      <c r="A43" s="321" t="s">
        <v>217</v>
      </c>
      <c r="B43" s="322" t="s">
        <v>218</v>
      </c>
      <c r="C43" s="319" t="s">
        <v>113</v>
      </c>
      <c r="D43" s="319"/>
      <c r="E43" s="319"/>
      <c r="F43" s="319"/>
      <c r="G43" s="320"/>
    </row>
    <row r="44" spans="1:7" ht="15.75" hidden="1">
      <c r="A44" s="323"/>
      <c r="B44" s="324" t="s">
        <v>100</v>
      </c>
      <c r="C44" s="325" t="s">
        <v>113</v>
      </c>
      <c r="D44" s="325"/>
      <c r="E44" s="325"/>
      <c r="F44" s="325"/>
      <c r="G44" s="326">
        <f>SUM(F45:F46)</f>
        <v>10.349</v>
      </c>
    </row>
    <row r="45" spans="1:7" ht="15.75" hidden="1">
      <c r="A45" s="330">
        <v>88309</v>
      </c>
      <c r="B45" s="324" t="s">
        <v>124</v>
      </c>
      <c r="C45" s="325" t="s">
        <v>220</v>
      </c>
      <c r="D45" s="329">
        <v>0.3</v>
      </c>
      <c r="E45" s="329">
        <v>14.88</v>
      </c>
      <c r="F45" s="329">
        <f>D45*E45</f>
        <v>4.464</v>
      </c>
      <c r="G45" s="326"/>
    </row>
    <row r="46" spans="1:7" ht="15.75" hidden="1">
      <c r="A46" s="330">
        <v>88316</v>
      </c>
      <c r="B46" s="324" t="s">
        <v>103</v>
      </c>
      <c r="C46" s="325" t="s">
        <v>220</v>
      </c>
      <c r="D46" s="329">
        <v>0.5</v>
      </c>
      <c r="E46" s="329">
        <v>11.77</v>
      </c>
      <c r="F46" s="329">
        <f>D46*E46</f>
        <v>5.885</v>
      </c>
      <c r="G46" s="326"/>
    </row>
    <row r="47" spans="1:7" ht="15.75" hidden="1">
      <c r="A47" s="323"/>
      <c r="B47" s="324" t="s">
        <v>104</v>
      </c>
      <c r="C47" s="325" t="s">
        <v>113</v>
      </c>
      <c r="D47" s="329"/>
      <c r="E47" s="329"/>
      <c r="F47" s="329"/>
      <c r="G47" s="332">
        <f>SUM(F48:F50)</f>
        <v>163.255585</v>
      </c>
    </row>
    <row r="48" spans="1:7" ht="45.75" hidden="1">
      <c r="A48" s="349" t="s">
        <v>230</v>
      </c>
      <c r="B48" s="324" t="s">
        <v>231</v>
      </c>
      <c r="C48" s="325" t="s">
        <v>232</v>
      </c>
      <c r="D48" s="328">
        <v>0.0135</v>
      </c>
      <c r="E48" s="329">
        <v>117.7</v>
      </c>
      <c r="F48" s="329">
        <f>D48*E48</f>
        <v>1.58895</v>
      </c>
      <c r="G48" s="332"/>
    </row>
    <row r="49" spans="1:7" ht="45.75" hidden="1">
      <c r="A49" s="350" t="s">
        <v>233</v>
      </c>
      <c r="B49" s="324" t="s">
        <v>234</v>
      </c>
      <c r="C49" s="325" t="s">
        <v>232</v>
      </c>
      <c r="D49" s="328">
        <v>0.0135</v>
      </c>
      <c r="E49" s="329">
        <v>239.01</v>
      </c>
      <c r="F49" s="329">
        <f>D49*E49</f>
        <v>3.226635</v>
      </c>
      <c r="G49" s="332"/>
    </row>
    <row r="50" spans="1:7" ht="45.75" hidden="1">
      <c r="A50" s="351" t="s">
        <v>235</v>
      </c>
      <c r="B50" s="324" t="s">
        <v>236</v>
      </c>
      <c r="C50" s="325" t="s">
        <v>110</v>
      </c>
      <c r="D50" s="329">
        <v>1</v>
      </c>
      <c r="E50" s="329">
        <f>AVERAGE(166.17,164.15,145)</f>
        <v>158.44</v>
      </c>
      <c r="F50" s="329">
        <f>D50*E50</f>
        <v>158.44</v>
      </c>
      <c r="G50" s="332"/>
    </row>
    <row r="51" spans="1:7" ht="15.75" hidden="1">
      <c r="A51" s="334"/>
      <c r="B51" s="335" t="s">
        <v>225</v>
      </c>
      <c r="C51" s="336" t="s">
        <v>113</v>
      </c>
      <c r="D51" s="337"/>
      <c r="E51" s="337"/>
      <c r="F51" s="337"/>
      <c r="G51" s="338">
        <f>SUM(G42:G48)</f>
        <v>173.604585</v>
      </c>
    </row>
    <row r="52" spans="1:7" ht="15.75" hidden="1">
      <c r="A52" s="323"/>
      <c r="B52" s="324" t="s">
        <v>226</v>
      </c>
      <c r="C52" s="325" t="s">
        <v>113</v>
      </c>
      <c r="D52" s="329"/>
      <c r="E52" s="329"/>
      <c r="F52" s="329"/>
      <c r="G52" s="332">
        <f>G51*G10</f>
        <v>41.66510039999999</v>
      </c>
    </row>
    <row r="53" spans="1:7" ht="15" customHeight="1" hidden="1">
      <c r="A53" s="291"/>
      <c r="B53" s="339"/>
      <c r="C53" s="340"/>
      <c r="D53" s="340"/>
      <c r="E53" s="340"/>
      <c r="F53" s="340"/>
      <c r="G53" s="341"/>
    </row>
    <row r="54" spans="1:7" ht="24.75" customHeight="1" hidden="1">
      <c r="A54" s="334"/>
      <c r="B54" s="318" t="s">
        <v>227</v>
      </c>
      <c r="C54" s="319" t="s">
        <v>113</v>
      </c>
      <c r="D54" s="319"/>
      <c r="E54" s="319"/>
      <c r="F54" s="319"/>
      <c r="G54" s="342">
        <f>SUM(G51:G52)</f>
        <v>215.2696854</v>
      </c>
    </row>
    <row r="55" spans="1:7" s="356" customFormat="1" ht="14.25" customHeight="1" hidden="1" thickBot="1">
      <c r="A55" s="352"/>
      <c r="B55" s="353"/>
      <c r="C55" s="354"/>
      <c r="D55" s="354"/>
      <c r="E55" s="354"/>
      <c r="F55" s="354"/>
      <c r="G55" s="355"/>
    </row>
    <row r="56" spans="1:7" ht="50.25" customHeight="1" hidden="1" thickBot="1">
      <c r="A56" s="357"/>
      <c r="B56" s="668" t="s">
        <v>237</v>
      </c>
      <c r="C56" s="668"/>
      <c r="D56" s="668"/>
      <c r="E56" s="668"/>
      <c r="F56" s="668"/>
      <c r="G56" s="358" t="s">
        <v>238</v>
      </c>
    </row>
    <row r="57" spans="1:7" ht="16.5" hidden="1" thickBot="1">
      <c r="A57" s="296"/>
      <c r="B57" s="653" t="s">
        <v>212</v>
      </c>
      <c r="C57" s="653"/>
      <c r="D57" s="653"/>
      <c r="E57" s="653"/>
      <c r="F57" s="653"/>
      <c r="G57" s="654"/>
    </row>
    <row r="58" spans="1:7" ht="16.5" hidden="1" thickBot="1">
      <c r="A58" s="296"/>
      <c r="B58" s="311"/>
      <c r="C58" s="311"/>
      <c r="D58" s="312"/>
      <c r="E58" s="313" t="s">
        <v>213</v>
      </c>
      <c r="F58" s="313"/>
      <c r="G58" s="304"/>
    </row>
    <row r="59" spans="1:7" ht="16.5" hidden="1" thickBot="1">
      <c r="A59" s="296"/>
      <c r="B59" s="312" t="s">
        <v>93</v>
      </c>
      <c r="C59" s="315" t="s">
        <v>190</v>
      </c>
      <c r="D59" s="315" t="s">
        <v>95</v>
      </c>
      <c r="E59" s="315" t="s">
        <v>214</v>
      </c>
      <c r="F59" s="315" t="s">
        <v>96</v>
      </c>
      <c r="G59" s="316" t="s">
        <v>215</v>
      </c>
    </row>
    <row r="60" spans="1:7" ht="15.75" hidden="1">
      <c r="A60" s="317" t="s">
        <v>216</v>
      </c>
      <c r="B60" s="318" t="s">
        <v>98</v>
      </c>
      <c r="C60" s="319" t="s">
        <v>113</v>
      </c>
      <c r="D60" s="319"/>
      <c r="E60" s="319"/>
      <c r="F60" s="319"/>
      <c r="G60" s="320">
        <v>0</v>
      </c>
    </row>
    <row r="61" spans="1:7" ht="36" customHeight="1" hidden="1">
      <c r="A61" s="321" t="s">
        <v>217</v>
      </c>
      <c r="B61" s="322" t="s">
        <v>218</v>
      </c>
      <c r="C61" s="319" t="s">
        <v>113</v>
      </c>
      <c r="D61" s="319"/>
      <c r="E61" s="319"/>
      <c r="F61" s="319"/>
      <c r="G61" s="320"/>
    </row>
    <row r="62" spans="1:7" ht="15.75" hidden="1">
      <c r="A62" s="323"/>
      <c r="B62" s="324" t="s">
        <v>100</v>
      </c>
      <c r="C62" s="325" t="s">
        <v>113</v>
      </c>
      <c r="D62" s="325"/>
      <c r="E62" s="325"/>
      <c r="F62" s="325"/>
      <c r="G62" s="326">
        <f>SUM(F63:F65)</f>
        <v>22.4266</v>
      </c>
    </row>
    <row r="63" spans="1:7" ht="15.75" hidden="1">
      <c r="A63" s="330">
        <v>88309</v>
      </c>
      <c r="B63" s="324" t="s">
        <v>124</v>
      </c>
      <c r="C63" s="325" t="s">
        <v>220</v>
      </c>
      <c r="D63" s="329">
        <v>0.65</v>
      </c>
      <c r="E63" s="329">
        <v>14.88</v>
      </c>
      <c r="F63" s="329">
        <f>D63*E63</f>
        <v>9.672</v>
      </c>
      <c r="G63" s="326"/>
    </row>
    <row r="64" spans="1:7" ht="15.75" hidden="1">
      <c r="A64" s="330">
        <v>88310</v>
      </c>
      <c r="B64" s="324" t="s">
        <v>239</v>
      </c>
      <c r="C64" s="325" t="s">
        <v>220</v>
      </c>
      <c r="D64" s="329">
        <v>0.4</v>
      </c>
      <c r="E64" s="329">
        <v>14.82</v>
      </c>
      <c r="F64" s="329">
        <f>D64*E64</f>
        <v>5.928000000000001</v>
      </c>
      <c r="G64" s="326"/>
    </row>
    <row r="65" spans="1:7" ht="15.75" hidden="1">
      <c r="A65" s="330">
        <v>88316</v>
      </c>
      <c r="B65" s="324" t="s">
        <v>103</v>
      </c>
      <c r="C65" s="325" t="s">
        <v>220</v>
      </c>
      <c r="D65" s="329">
        <v>0.58</v>
      </c>
      <c r="E65" s="329">
        <v>11.77</v>
      </c>
      <c r="F65" s="329">
        <f>D65*E65</f>
        <v>6.826599999999999</v>
      </c>
      <c r="G65" s="326"/>
    </row>
    <row r="66" spans="1:7" ht="15.75" hidden="1">
      <c r="A66" s="330"/>
      <c r="B66" s="324" t="s">
        <v>104</v>
      </c>
      <c r="C66" s="325" t="s">
        <v>113</v>
      </c>
      <c r="D66" s="329"/>
      <c r="E66" s="325"/>
      <c r="F66" s="325"/>
      <c r="G66" s="332">
        <f>SUM(F67:F73)</f>
        <v>124.62875</v>
      </c>
    </row>
    <row r="67" spans="1:7" ht="15.75" hidden="1">
      <c r="A67" s="330" t="s">
        <v>240</v>
      </c>
      <c r="B67" s="359" t="s">
        <v>241</v>
      </c>
      <c r="C67" s="325" t="s">
        <v>232</v>
      </c>
      <c r="D67" s="328">
        <v>0.144</v>
      </c>
      <c r="E67" s="329">
        <v>60</v>
      </c>
      <c r="F67" s="329">
        <f aca="true" t="shared" si="0" ref="F67:F73">D67*E67</f>
        <v>8.639999999999999</v>
      </c>
      <c r="G67" s="332"/>
    </row>
    <row r="68" spans="1:7" ht="15.75" hidden="1">
      <c r="A68" s="330">
        <v>1379</v>
      </c>
      <c r="B68" s="359" t="s">
        <v>242</v>
      </c>
      <c r="C68" s="325" t="s">
        <v>128</v>
      </c>
      <c r="D68" s="329">
        <v>47.63</v>
      </c>
      <c r="E68" s="329">
        <v>0.41</v>
      </c>
      <c r="F68" s="329">
        <f t="shared" si="0"/>
        <v>19.5283</v>
      </c>
      <c r="G68" s="332"/>
    </row>
    <row r="69" spans="1:7" ht="15.75" hidden="1">
      <c r="A69" s="330">
        <v>4718</v>
      </c>
      <c r="B69" s="359" t="s">
        <v>243</v>
      </c>
      <c r="C69" s="325" t="s">
        <v>232</v>
      </c>
      <c r="D69" s="328">
        <v>0.135</v>
      </c>
      <c r="E69" s="329">
        <v>50</v>
      </c>
      <c r="F69" s="329">
        <f t="shared" si="0"/>
        <v>6.75</v>
      </c>
      <c r="G69" s="332"/>
    </row>
    <row r="70" spans="1:7" ht="15.75" hidden="1">
      <c r="A70" s="330">
        <v>7348</v>
      </c>
      <c r="B70" s="324" t="s">
        <v>244</v>
      </c>
      <c r="C70" s="325" t="s">
        <v>245</v>
      </c>
      <c r="D70" s="328">
        <v>0.459</v>
      </c>
      <c r="E70" s="329">
        <v>11.85</v>
      </c>
      <c r="F70" s="329">
        <f t="shared" si="0"/>
        <v>5.43915</v>
      </c>
      <c r="G70" s="332"/>
    </row>
    <row r="71" spans="1:7" ht="38.25" customHeight="1" hidden="1">
      <c r="A71" s="330">
        <v>38137</v>
      </c>
      <c r="B71" s="324" t="s">
        <v>246</v>
      </c>
      <c r="C71" s="325" t="s">
        <v>247</v>
      </c>
      <c r="D71" s="329">
        <v>0.3</v>
      </c>
      <c r="E71" s="329">
        <v>43.75</v>
      </c>
      <c r="F71" s="329">
        <f t="shared" si="0"/>
        <v>13.125</v>
      </c>
      <c r="G71" s="332"/>
    </row>
    <row r="72" spans="1:7" ht="30.75" hidden="1">
      <c r="A72" s="330">
        <v>38135</v>
      </c>
      <c r="B72" s="324" t="s">
        <v>248</v>
      </c>
      <c r="C72" s="325" t="s">
        <v>247</v>
      </c>
      <c r="D72" s="329">
        <v>1.28</v>
      </c>
      <c r="E72" s="329">
        <v>55.46</v>
      </c>
      <c r="F72" s="329">
        <f t="shared" si="0"/>
        <v>70.9888</v>
      </c>
      <c r="G72" s="332"/>
    </row>
    <row r="73" spans="1:7" ht="30.75" hidden="1">
      <c r="A73" s="330">
        <v>1381</v>
      </c>
      <c r="B73" s="324" t="s">
        <v>249</v>
      </c>
      <c r="C73" s="325" t="s">
        <v>128</v>
      </c>
      <c r="D73" s="329">
        <v>0.35</v>
      </c>
      <c r="E73" s="329">
        <v>0.45</v>
      </c>
      <c r="F73" s="329">
        <f t="shared" si="0"/>
        <v>0.1575</v>
      </c>
      <c r="G73" s="332"/>
    </row>
    <row r="74" spans="1:7" ht="15.75" hidden="1">
      <c r="A74" s="334"/>
      <c r="B74" s="318" t="s">
        <v>225</v>
      </c>
      <c r="C74" s="319" t="s">
        <v>113</v>
      </c>
      <c r="D74" s="319"/>
      <c r="E74" s="319"/>
      <c r="F74" s="319"/>
      <c r="G74" s="342">
        <f>SUM(G60:G71)</f>
        <v>147.05535</v>
      </c>
    </row>
    <row r="75" spans="1:7" ht="15.75" hidden="1">
      <c r="A75" s="323"/>
      <c r="B75" s="324" t="s">
        <v>226</v>
      </c>
      <c r="C75" s="325" t="s">
        <v>113</v>
      </c>
      <c r="D75" s="325"/>
      <c r="E75" s="325"/>
      <c r="F75" s="325"/>
      <c r="G75" s="326">
        <f>G74*G10</f>
        <v>35.293284</v>
      </c>
    </row>
    <row r="76" spans="1:7" ht="15.75" hidden="1">
      <c r="A76" s="291"/>
      <c r="B76" s="360"/>
      <c r="C76" s="303"/>
      <c r="D76" s="303"/>
      <c r="E76" s="303"/>
      <c r="F76" s="303"/>
      <c r="G76" s="361"/>
    </row>
    <row r="77" spans="1:7" ht="15.75" hidden="1">
      <c r="A77" s="334"/>
      <c r="B77" s="318" t="s">
        <v>227</v>
      </c>
      <c r="C77" s="319" t="s">
        <v>113</v>
      </c>
      <c r="D77" s="319"/>
      <c r="E77" s="319"/>
      <c r="F77" s="319"/>
      <c r="G77" s="342">
        <f>SUM(G74:G75)</f>
        <v>182.348634</v>
      </c>
    </row>
    <row r="78" spans="1:7" ht="16.5" hidden="1" thickBot="1">
      <c r="A78" s="362"/>
      <c r="B78" s="363"/>
      <c r="C78" s="364"/>
      <c r="D78" s="364"/>
      <c r="E78" s="364"/>
      <c r="F78" s="364"/>
      <c r="G78" s="365"/>
    </row>
    <row r="79" spans="1:7" ht="54" customHeight="1" hidden="1" thickBot="1">
      <c r="A79" s="346"/>
      <c r="B79" s="669" t="s">
        <v>250</v>
      </c>
      <c r="C79" s="669"/>
      <c r="D79" s="669"/>
      <c r="E79" s="669"/>
      <c r="F79" s="669"/>
      <c r="G79" s="306" t="s">
        <v>229</v>
      </c>
    </row>
    <row r="80" spans="1:7" ht="16.5" hidden="1" thickBot="1">
      <c r="A80" s="296"/>
      <c r="B80" s="653" t="s">
        <v>212</v>
      </c>
      <c r="C80" s="653"/>
      <c r="D80" s="653"/>
      <c r="E80" s="653"/>
      <c r="F80" s="653"/>
      <c r="G80" s="654"/>
    </row>
    <row r="81" spans="1:7" ht="16.5" hidden="1" thickBot="1">
      <c r="A81" s="296"/>
      <c r="B81" s="311"/>
      <c r="C81" s="311"/>
      <c r="D81" s="312"/>
      <c r="E81" s="313" t="s">
        <v>213</v>
      </c>
      <c r="F81" s="313"/>
      <c r="G81" s="304"/>
    </row>
    <row r="82" spans="1:7" ht="16.5" hidden="1" thickBot="1">
      <c r="A82" s="296"/>
      <c r="B82" s="312" t="s">
        <v>93</v>
      </c>
      <c r="C82" s="315" t="s">
        <v>190</v>
      </c>
      <c r="D82" s="315" t="s">
        <v>95</v>
      </c>
      <c r="E82" s="315" t="s">
        <v>214</v>
      </c>
      <c r="F82" s="315" t="s">
        <v>96</v>
      </c>
      <c r="G82" s="316" t="s">
        <v>215</v>
      </c>
    </row>
    <row r="83" spans="1:7" ht="15.75" hidden="1">
      <c r="A83" s="317" t="s">
        <v>216</v>
      </c>
      <c r="B83" s="318" t="s">
        <v>98</v>
      </c>
      <c r="C83" s="319" t="s">
        <v>113</v>
      </c>
      <c r="D83" s="319"/>
      <c r="E83" s="319"/>
      <c r="F83" s="319"/>
      <c r="G83" s="320">
        <v>0</v>
      </c>
    </row>
    <row r="84" spans="1:7" ht="45.75" hidden="1">
      <c r="A84" s="321" t="s">
        <v>251</v>
      </c>
      <c r="B84" s="322" t="s">
        <v>218</v>
      </c>
      <c r="C84" s="319" t="s">
        <v>113</v>
      </c>
      <c r="D84" s="319"/>
      <c r="E84" s="319"/>
      <c r="F84" s="319"/>
      <c r="G84" s="320"/>
    </row>
    <row r="85" spans="1:7" ht="15.75" hidden="1">
      <c r="A85" s="323"/>
      <c r="B85" s="324" t="s">
        <v>100</v>
      </c>
      <c r="C85" s="325" t="s">
        <v>113</v>
      </c>
      <c r="D85" s="325"/>
      <c r="E85" s="325"/>
      <c r="F85" s="325"/>
      <c r="G85" s="326">
        <f>SUM(F86:F91)</f>
        <v>179.384</v>
      </c>
    </row>
    <row r="86" spans="1:7" ht="15.75" hidden="1">
      <c r="A86" s="331" t="s">
        <v>252</v>
      </c>
      <c r="B86" s="324" t="s">
        <v>121</v>
      </c>
      <c r="C86" s="325" t="s">
        <v>220</v>
      </c>
      <c r="D86" s="325">
        <v>0.02</v>
      </c>
      <c r="E86" s="329">
        <v>14.78</v>
      </c>
      <c r="F86" s="329">
        <f aca="true" t="shared" si="1" ref="F86:F91">D86*E86</f>
        <v>0.2956</v>
      </c>
      <c r="G86" s="326"/>
    </row>
    <row r="87" spans="1:7" ht="15.75" hidden="1">
      <c r="A87" s="330">
        <v>88262</v>
      </c>
      <c r="B87" s="324" t="s">
        <v>253</v>
      </c>
      <c r="C87" s="325" t="s">
        <v>220</v>
      </c>
      <c r="D87" s="325">
        <v>0.04</v>
      </c>
      <c r="E87" s="329">
        <v>14.78</v>
      </c>
      <c r="F87" s="329">
        <f t="shared" si="1"/>
        <v>0.5912</v>
      </c>
      <c r="G87" s="326"/>
    </row>
    <row r="88" spans="1:7" ht="15.75" hidden="1">
      <c r="A88" s="330">
        <v>88310</v>
      </c>
      <c r="B88" s="324" t="s">
        <v>239</v>
      </c>
      <c r="C88" s="325" t="s">
        <v>220</v>
      </c>
      <c r="D88" s="329">
        <v>3.85</v>
      </c>
      <c r="E88" s="329">
        <v>14.82</v>
      </c>
      <c r="F88" s="329">
        <f t="shared" si="1"/>
        <v>57.057</v>
      </c>
      <c r="G88" s="326"/>
    </row>
    <row r="89" spans="1:7" ht="15.75" hidden="1">
      <c r="A89" s="330">
        <v>88309</v>
      </c>
      <c r="B89" s="324" t="s">
        <v>124</v>
      </c>
      <c r="C89" s="325" t="s">
        <v>220</v>
      </c>
      <c r="D89" s="329">
        <v>0.04</v>
      </c>
      <c r="E89" s="329">
        <v>14.88</v>
      </c>
      <c r="F89" s="329">
        <f t="shared" si="1"/>
        <v>0.5952000000000001</v>
      </c>
      <c r="G89" s="326"/>
    </row>
    <row r="90" spans="1:7" ht="15.75" hidden="1">
      <c r="A90" s="330">
        <v>88316</v>
      </c>
      <c r="B90" s="324" t="s">
        <v>103</v>
      </c>
      <c r="C90" s="325" t="s">
        <v>220</v>
      </c>
      <c r="D90" s="329">
        <v>6.5</v>
      </c>
      <c r="E90" s="329">
        <v>11.77</v>
      </c>
      <c r="F90" s="329">
        <f t="shared" si="1"/>
        <v>76.505</v>
      </c>
      <c r="G90" s="326"/>
    </row>
    <row r="91" spans="1:7" ht="15.75" hidden="1">
      <c r="A91" s="330">
        <v>88317</v>
      </c>
      <c r="B91" s="324" t="s">
        <v>254</v>
      </c>
      <c r="C91" s="325" t="s">
        <v>220</v>
      </c>
      <c r="D91" s="329">
        <v>3</v>
      </c>
      <c r="E91" s="329">
        <v>14.78</v>
      </c>
      <c r="F91" s="329">
        <f t="shared" si="1"/>
        <v>44.339999999999996</v>
      </c>
      <c r="G91" s="326"/>
    </row>
    <row r="92" spans="1:7" ht="15.75" hidden="1">
      <c r="A92" s="323"/>
      <c r="B92" s="324" t="s">
        <v>104</v>
      </c>
      <c r="C92" s="325" t="s">
        <v>113</v>
      </c>
      <c r="D92" s="329"/>
      <c r="E92" s="329"/>
      <c r="F92" s="329"/>
      <c r="G92" s="332">
        <f>SUM(F93:F106)</f>
        <v>542.45894</v>
      </c>
    </row>
    <row r="93" spans="1:7" ht="15.75" hidden="1">
      <c r="A93" s="330">
        <v>5318</v>
      </c>
      <c r="B93" s="324" t="s">
        <v>255</v>
      </c>
      <c r="C93" s="325" t="s">
        <v>245</v>
      </c>
      <c r="D93" s="328">
        <v>0.044</v>
      </c>
      <c r="E93" s="329">
        <v>12.86</v>
      </c>
      <c r="F93" s="329">
        <f aca="true" t="shared" si="2" ref="F93:F106">D93*E93</f>
        <v>0.5658399999999999</v>
      </c>
      <c r="G93" s="332"/>
    </row>
    <row r="94" spans="1:7" ht="15.75" hidden="1">
      <c r="A94" s="330">
        <v>1379</v>
      </c>
      <c r="B94" s="324" t="s">
        <v>242</v>
      </c>
      <c r="C94" s="325" t="s">
        <v>128</v>
      </c>
      <c r="D94" s="329">
        <v>28.05</v>
      </c>
      <c r="E94" s="329">
        <v>0.41</v>
      </c>
      <c r="F94" s="329">
        <f t="shared" si="2"/>
        <v>11.500499999999999</v>
      </c>
      <c r="G94" s="332"/>
    </row>
    <row r="95" spans="1:7" ht="15.75" hidden="1">
      <c r="A95" s="331" t="s">
        <v>240</v>
      </c>
      <c r="B95" s="324" t="s">
        <v>241</v>
      </c>
      <c r="C95" s="325" t="s">
        <v>232</v>
      </c>
      <c r="D95" s="333">
        <v>0.1037</v>
      </c>
      <c r="E95" s="329">
        <v>60</v>
      </c>
      <c r="F95" s="329">
        <f t="shared" si="2"/>
        <v>6.222</v>
      </c>
      <c r="G95" s="332"/>
    </row>
    <row r="96" spans="1:7" ht="15.75" hidden="1">
      <c r="A96" s="331" t="s">
        <v>256</v>
      </c>
      <c r="B96" s="324" t="s">
        <v>257</v>
      </c>
      <c r="C96" s="325" t="s">
        <v>232</v>
      </c>
      <c r="D96" s="333">
        <v>0.023</v>
      </c>
      <c r="E96" s="329">
        <v>50</v>
      </c>
      <c r="F96" s="329">
        <f t="shared" si="2"/>
        <v>1.15</v>
      </c>
      <c r="G96" s="332"/>
    </row>
    <row r="97" spans="1:7" ht="15.75" hidden="1">
      <c r="A97" s="331" t="s">
        <v>258</v>
      </c>
      <c r="B97" s="324" t="s">
        <v>243</v>
      </c>
      <c r="C97" s="325" t="s">
        <v>232</v>
      </c>
      <c r="D97" s="333">
        <v>0.069</v>
      </c>
      <c r="E97" s="329">
        <v>50</v>
      </c>
      <c r="F97" s="329">
        <f t="shared" si="2"/>
        <v>3.45</v>
      </c>
      <c r="G97" s="332"/>
    </row>
    <row r="98" spans="1:7" ht="15.75" hidden="1">
      <c r="A98" s="331" t="s">
        <v>259</v>
      </c>
      <c r="B98" s="324" t="s">
        <v>260</v>
      </c>
      <c r="C98" s="325" t="s">
        <v>128</v>
      </c>
      <c r="D98" s="329">
        <v>1</v>
      </c>
      <c r="E98" s="329">
        <v>19.5</v>
      </c>
      <c r="F98" s="329">
        <f t="shared" si="2"/>
        <v>19.5</v>
      </c>
      <c r="G98" s="332"/>
    </row>
    <row r="99" spans="1:7" ht="30.75" hidden="1">
      <c r="A99" s="331" t="s">
        <v>261</v>
      </c>
      <c r="B99" s="324" t="s">
        <v>262</v>
      </c>
      <c r="C99" s="325" t="s">
        <v>131</v>
      </c>
      <c r="D99" s="329">
        <v>0.04</v>
      </c>
      <c r="E99" s="329">
        <v>2015.36</v>
      </c>
      <c r="F99" s="329">
        <f t="shared" si="2"/>
        <v>80.6144</v>
      </c>
      <c r="G99" s="332"/>
    </row>
    <row r="100" spans="1:7" ht="15.75" hidden="1">
      <c r="A100" s="331" t="s">
        <v>263</v>
      </c>
      <c r="B100" s="324" t="s">
        <v>264</v>
      </c>
      <c r="C100" s="325" t="s">
        <v>110</v>
      </c>
      <c r="D100" s="329">
        <v>1.6</v>
      </c>
      <c r="E100" s="329">
        <v>1.97</v>
      </c>
      <c r="F100" s="329">
        <f t="shared" si="2"/>
        <v>3.152</v>
      </c>
      <c r="G100" s="332"/>
    </row>
    <row r="101" spans="1:7" ht="15.75" hidden="1">
      <c r="A101" s="331" t="s">
        <v>265</v>
      </c>
      <c r="B101" s="324" t="s">
        <v>266</v>
      </c>
      <c r="C101" s="325" t="s">
        <v>110</v>
      </c>
      <c r="D101" s="329">
        <v>0.5</v>
      </c>
      <c r="E101" s="329">
        <v>0.47</v>
      </c>
      <c r="F101" s="329">
        <f t="shared" si="2"/>
        <v>0.235</v>
      </c>
      <c r="G101" s="332"/>
    </row>
    <row r="102" spans="1:7" ht="15.75" hidden="1">
      <c r="A102" s="331" t="s">
        <v>267</v>
      </c>
      <c r="B102" s="324" t="s">
        <v>268</v>
      </c>
      <c r="C102" s="325" t="s">
        <v>245</v>
      </c>
      <c r="D102" s="329">
        <v>0.36</v>
      </c>
      <c r="E102" s="329">
        <v>47.32</v>
      </c>
      <c r="F102" s="329">
        <f t="shared" si="2"/>
        <v>17.0352</v>
      </c>
      <c r="G102" s="332"/>
    </row>
    <row r="103" spans="1:7" ht="15.75" hidden="1">
      <c r="A103" s="331" t="s">
        <v>269</v>
      </c>
      <c r="B103" s="324" t="s">
        <v>270</v>
      </c>
      <c r="C103" s="325" t="s">
        <v>245</v>
      </c>
      <c r="D103" s="329">
        <v>0.36</v>
      </c>
      <c r="E103" s="329">
        <v>19.38</v>
      </c>
      <c r="F103" s="329">
        <f t="shared" si="2"/>
        <v>6.976799999999999</v>
      </c>
      <c r="G103" s="332"/>
    </row>
    <row r="104" spans="1:7" ht="15.75" hidden="1">
      <c r="A104" s="331" t="s">
        <v>271</v>
      </c>
      <c r="B104" s="324" t="s">
        <v>272</v>
      </c>
      <c r="C104" s="325" t="s">
        <v>245</v>
      </c>
      <c r="D104" s="328">
        <v>0.396</v>
      </c>
      <c r="E104" s="329">
        <v>23.2</v>
      </c>
      <c r="F104" s="329">
        <f t="shared" si="2"/>
        <v>9.1872</v>
      </c>
      <c r="G104" s="332"/>
    </row>
    <row r="105" spans="1:7" ht="15.75" hidden="1">
      <c r="A105" s="331" t="s">
        <v>273</v>
      </c>
      <c r="B105" s="324" t="s">
        <v>274</v>
      </c>
      <c r="C105" s="325" t="s">
        <v>245</v>
      </c>
      <c r="D105" s="329">
        <v>0.2</v>
      </c>
      <c r="E105" s="329">
        <v>19.55</v>
      </c>
      <c r="F105" s="329">
        <f t="shared" si="2"/>
        <v>3.91</v>
      </c>
      <c r="G105" s="332"/>
    </row>
    <row r="106" spans="1:7" ht="45.75" hidden="1">
      <c r="A106" s="330">
        <v>21014</v>
      </c>
      <c r="B106" s="324" t="s">
        <v>275</v>
      </c>
      <c r="C106" s="325" t="s">
        <v>106</v>
      </c>
      <c r="D106" s="329">
        <v>8</v>
      </c>
      <c r="E106" s="329">
        <v>47.37</v>
      </c>
      <c r="F106" s="329">
        <f t="shared" si="2"/>
        <v>378.96</v>
      </c>
      <c r="G106" s="332"/>
    </row>
    <row r="107" spans="1:7" ht="15.75" hidden="1">
      <c r="A107" s="334"/>
      <c r="B107" s="335" t="s">
        <v>225</v>
      </c>
      <c r="C107" s="336" t="s">
        <v>113</v>
      </c>
      <c r="D107" s="337"/>
      <c r="E107" s="337"/>
      <c r="F107" s="337"/>
      <c r="G107" s="338">
        <f>SUM(G83:G94)</f>
        <v>721.84294</v>
      </c>
    </row>
    <row r="108" spans="1:7" ht="15.75" hidden="1">
      <c r="A108" s="323"/>
      <c r="B108" s="324" t="s">
        <v>226</v>
      </c>
      <c r="C108" s="325" t="s">
        <v>113</v>
      </c>
      <c r="D108" s="329"/>
      <c r="E108" s="329"/>
      <c r="F108" s="329"/>
      <c r="G108" s="332">
        <f>G107*G10</f>
        <v>173.24230559999998</v>
      </c>
    </row>
    <row r="109" spans="1:7" ht="15.75" hidden="1">
      <c r="A109" s="291"/>
      <c r="B109" s="339"/>
      <c r="C109" s="340"/>
      <c r="D109" s="340"/>
      <c r="E109" s="340"/>
      <c r="F109" s="340"/>
      <c r="G109" s="341"/>
    </row>
    <row r="110" spans="1:7" ht="15.75" hidden="1">
      <c r="A110" s="334"/>
      <c r="B110" s="318" t="s">
        <v>227</v>
      </c>
      <c r="C110" s="319" t="s">
        <v>113</v>
      </c>
      <c r="D110" s="319"/>
      <c r="E110" s="319"/>
      <c r="F110" s="319"/>
      <c r="G110" s="342">
        <f>SUM(G107:G108)</f>
        <v>895.0852456</v>
      </c>
    </row>
    <row r="111" spans="1:7" ht="15.75" hidden="1" thickBot="1">
      <c r="A111" s="366"/>
      <c r="B111" s="309"/>
      <c r="C111" s="309"/>
      <c r="D111" s="309"/>
      <c r="E111" s="309"/>
      <c r="F111" s="309"/>
      <c r="G111" s="367"/>
    </row>
    <row r="112" spans="2:7" ht="15.75" hidden="1" thickBot="1">
      <c r="B112" s="368"/>
      <c r="C112" s="368"/>
      <c r="D112" s="368"/>
      <c r="E112" s="368"/>
      <c r="F112" s="368"/>
      <c r="G112" s="368"/>
    </row>
    <row r="113" spans="1:13" ht="22.5" customHeight="1" hidden="1">
      <c r="A113" s="346"/>
      <c r="B113" s="671" t="s">
        <v>276</v>
      </c>
      <c r="C113" s="671"/>
      <c r="D113" s="671"/>
      <c r="E113" s="671"/>
      <c r="F113" s="671"/>
      <c r="G113" s="369" t="s">
        <v>277</v>
      </c>
      <c r="H113" s="670"/>
      <c r="I113" s="670"/>
      <c r="J113" s="670"/>
      <c r="K113" s="670"/>
      <c r="L113" s="670"/>
      <c r="M113" s="670"/>
    </row>
    <row r="114" spans="1:13" ht="12" customHeight="1" hidden="1" thickBot="1">
      <c r="A114" s="348"/>
      <c r="B114" s="308"/>
      <c r="C114" s="309"/>
      <c r="D114" s="309"/>
      <c r="E114" s="309"/>
      <c r="F114" s="309"/>
      <c r="G114" s="370"/>
      <c r="H114" s="670"/>
      <c r="I114" s="670"/>
      <c r="J114" s="670"/>
      <c r="K114" s="670"/>
      <c r="L114" s="670"/>
      <c r="M114" s="670"/>
    </row>
    <row r="115" spans="1:13" ht="19.5" customHeight="1" hidden="1" thickBot="1">
      <c r="A115" s="296"/>
      <c r="B115" s="653" t="s">
        <v>212</v>
      </c>
      <c r="C115" s="653"/>
      <c r="D115" s="653"/>
      <c r="E115" s="653"/>
      <c r="F115" s="653"/>
      <c r="G115" s="653"/>
      <c r="H115" s="371"/>
      <c r="I115" s="371"/>
      <c r="J115" s="371"/>
      <c r="K115" s="371"/>
      <c r="L115" s="371"/>
      <c r="M115" s="371"/>
    </row>
    <row r="116" spans="1:13" ht="16.5" hidden="1" thickBot="1">
      <c r="A116" s="296"/>
      <c r="B116" s="311"/>
      <c r="C116" s="311"/>
      <c r="D116" s="312"/>
      <c r="E116" s="313" t="s">
        <v>213</v>
      </c>
      <c r="F116" s="313"/>
      <c r="G116" s="303"/>
      <c r="H116" s="672"/>
      <c r="I116" s="672"/>
      <c r="J116" s="672"/>
      <c r="K116" s="672"/>
      <c r="L116" s="672"/>
      <c r="M116" s="672"/>
    </row>
    <row r="117" spans="1:13" ht="20.25" customHeight="1" hidden="1" thickBot="1">
      <c r="A117" s="296"/>
      <c r="B117" s="312" t="s">
        <v>93</v>
      </c>
      <c r="C117" s="315" t="s">
        <v>190</v>
      </c>
      <c r="D117" s="315" t="s">
        <v>95</v>
      </c>
      <c r="E117" s="315" t="s">
        <v>214</v>
      </c>
      <c r="F117" s="315" t="s">
        <v>96</v>
      </c>
      <c r="G117" s="372" t="s">
        <v>215</v>
      </c>
      <c r="H117" s="373"/>
      <c r="I117" s="374"/>
      <c r="J117" s="373"/>
      <c r="K117" s="375"/>
      <c r="L117" s="376"/>
      <c r="M117" s="377"/>
    </row>
    <row r="118" spans="1:13" ht="20.25" customHeight="1" hidden="1">
      <c r="A118" s="317" t="s">
        <v>216</v>
      </c>
      <c r="B118" s="318" t="s">
        <v>98</v>
      </c>
      <c r="C118" s="319" t="s">
        <v>113</v>
      </c>
      <c r="D118" s="319"/>
      <c r="E118" s="319"/>
      <c r="F118" s="319"/>
      <c r="G118" s="378">
        <v>0</v>
      </c>
      <c r="H118" s="373"/>
      <c r="I118" s="374"/>
      <c r="J118" s="373"/>
      <c r="K118" s="375"/>
      <c r="L118" s="377"/>
      <c r="M118" s="377"/>
    </row>
    <row r="119" spans="1:13" ht="36" customHeight="1" hidden="1">
      <c r="A119" s="321" t="s">
        <v>217</v>
      </c>
      <c r="B119" s="322" t="s">
        <v>218</v>
      </c>
      <c r="C119" s="319" t="s">
        <v>113</v>
      </c>
      <c r="D119" s="319"/>
      <c r="E119" s="319"/>
      <c r="F119" s="319"/>
      <c r="G119" s="378"/>
      <c r="H119" s="673"/>
      <c r="I119" s="673"/>
      <c r="J119" s="673"/>
      <c r="K119" s="673"/>
      <c r="L119" s="673"/>
      <c r="M119" s="379"/>
    </row>
    <row r="120" spans="1:13" ht="15.75" hidden="1">
      <c r="A120" s="323"/>
      <c r="B120" s="324" t="s">
        <v>100</v>
      </c>
      <c r="C120" s="325" t="s">
        <v>113</v>
      </c>
      <c r="D120" s="325"/>
      <c r="E120" s="325"/>
      <c r="F120" s="325"/>
      <c r="G120" s="380">
        <f>SUM(F121:F122)</f>
        <v>53.3</v>
      </c>
      <c r="H120" s="672"/>
      <c r="I120" s="672"/>
      <c r="J120" s="672"/>
      <c r="K120" s="672"/>
      <c r="L120" s="672"/>
      <c r="M120" s="672"/>
    </row>
    <row r="121" spans="1:13" ht="22.5" customHeight="1" hidden="1">
      <c r="A121" s="330">
        <v>88309</v>
      </c>
      <c r="B121" s="324" t="s">
        <v>124</v>
      </c>
      <c r="C121" s="325" t="s">
        <v>220</v>
      </c>
      <c r="D121" s="329">
        <v>2</v>
      </c>
      <c r="E121" s="329">
        <v>14.88</v>
      </c>
      <c r="F121" s="329">
        <f>D121*E121</f>
        <v>29.76</v>
      </c>
      <c r="G121" s="380"/>
      <c r="H121" s="373"/>
      <c r="I121" s="374"/>
      <c r="J121" s="373"/>
      <c r="K121" s="381"/>
      <c r="L121" s="377"/>
      <c r="M121" s="377"/>
    </row>
    <row r="122" spans="1:13" ht="18.75" customHeight="1" hidden="1">
      <c r="A122" s="330">
        <v>88316</v>
      </c>
      <c r="B122" s="324" t="s">
        <v>103</v>
      </c>
      <c r="C122" s="325" t="s">
        <v>220</v>
      </c>
      <c r="D122" s="329">
        <v>2</v>
      </c>
      <c r="E122" s="329">
        <v>11.77</v>
      </c>
      <c r="F122" s="329">
        <f>D122*E122</f>
        <v>23.54</v>
      </c>
      <c r="G122" s="380"/>
      <c r="H122" s="373"/>
      <c r="I122" s="374"/>
      <c r="J122" s="373"/>
      <c r="K122" s="375"/>
      <c r="L122" s="377"/>
      <c r="M122" s="377"/>
    </row>
    <row r="123" spans="1:13" ht="18.75" customHeight="1" hidden="1">
      <c r="A123" s="323"/>
      <c r="B123" s="324" t="s">
        <v>104</v>
      </c>
      <c r="C123" s="325" t="s">
        <v>113</v>
      </c>
      <c r="D123" s="329"/>
      <c r="E123" s="329"/>
      <c r="F123" s="329"/>
      <c r="G123" s="382">
        <f>SUM(F124:F126)</f>
        <v>259.7846</v>
      </c>
      <c r="H123" s="373"/>
      <c r="I123" s="374"/>
      <c r="J123" s="373"/>
      <c r="K123" s="375"/>
      <c r="L123" s="377"/>
      <c r="M123" s="377"/>
    </row>
    <row r="124" spans="1:13" ht="20.25" customHeight="1" hidden="1">
      <c r="A124" s="351">
        <v>370</v>
      </c>
      <c r="B124" s="324" t="s">
        <v>278</v>
      </c>
      <c r="C124" s="383" t="s">
        <v>131</v>
      </c>
      <c r="D124" s="384">
        <v>0.0052</v>
      </c>
      <c r="E124" s="384">
        <v>60</v>
      </c>
      <c r="F124" s="384">
        <f>D124*E124</f>
        <v>0.312</v>
      </c>
      <c r="G124" s="382"/>
      <c r="H124" s="673"/>
      <c r="I124" s="673"/>
      <c r="J124" s="673"/>
      <c r="K124" s="673"/>
      <c r="L124" s="673"/>
      <c r="M124" s="379"/>
    </row>
    <row r="125" spans="1:13" ht="20.25" customHeight="1" hidden="1">
      <c r="A125" s="351">
        <v>1379</v>
      </c>
      <c r="B125" s="324" t="s">
        <v>279</v>
      </c>
      <c r="C125" s="383" t="s">
        <v>126</v>
      </c>
      <c r="D125" s="384">
        <v>2.27</v>
      </c>
      <c r="E125" s="384">
        <v>0.38</v>
      </c>
      <c r="F125" s="384">
        <f>D125*E125</f>
        <v>0.8626</v>
      </c>
      <c r="G125" s="382"/>
      <c r="H125" s="385"/>
      <c r="I125" s="386"/>
      <c r="J125" s="385"/>
      <c r="K125" s="385"/>
      <c r="L125" s="385"/>
      <c r="M125" s="379"/>
    </row>
    <row r="126" spans="1:13" ht="66.75" customHeight="1" hidden="1">
      <c r="A126" s="387">
        <v>11692</v>
      </c>
      <c r="B126" s="388" t="s">
        <v>280</v>
      </c>
      <c r="C126" s="389" t="s">
        <v>137</v>
      </c>
      <c r="D126" s="384">
        <v>1</v>
      </c>
      <c r="E126" s="384">
        <v>258.61</v>
      </c>
      <c r="F126" s="384">
        <f>D126*E126</f>
        <v>258.61</v>
      </c>
      <c r="G126" s="382"/>
      <c r="H126" s="674"/>
      <c r="I126" s="674"/>
      <c r="J126" s="674"/>
      <c r="K126" s="674"/>
      <c r="L126" s="674"/>
      <c r="M126" s="674"/>
    </row>
    <row r="127" spans="1:13" ht="15.75" hidden="1">
      <c r="A127" s="334"/>
      <c r="B127" s="335" t="s">
        <v>225</v>
      </c>
      <c r="C127" s="336" t="s">
        <v>113</v>
      </c>
      <c r="D127" s="337"/>
      <c r="E127" s="337"/>
      <c r="F127" s="337"/>
      <c r="G127" s="390">
        <f>SUM(G118:G124)</f>
        <v>313.0846</v>
      </c>
      <c r="H127" s="675"/>
      <c r="I127" s="675"/>
      <c r="J127" s="675"/>
      <c r="K127" s="675"/>
      <c r="L127" s="675"/>
      <c r="M127" s="391"/>
    </row>
    <row r="128" spans="1:13" ht="15.75" hidden="1">
      <c r="A128" s="323"/>
      <c r="B128" s="324" t="s">
        <v>226</v>
      </c>
      <c r="C128" s="325" t="s">
        <v>113</v>
      </c>
      <c r="D128" s="329"/>
      <c r="E128" s="329"/>
      <c r="F128" s="329"/>
      <c r="G128" s="382">
        <f>G127*G10</f>
        <v>75.140304</v>
      </c>
      <c r="H128" s="392"/>
      <c r="I128" s="393"/>
      <c r="J128" s="393"/>
      <c r="K128" s="393"/>
      <c r="L128" s="393"/>
      <c r="M128" s="394"/>
    </row>
    <row r="129" spans="1:13" ht="16.5" hidden="1">
      <c r="A129" s="291"/>
      <c r="B129" s="339"/>
      <c r="C129" s="340"/>
      <c r="D129" s="340"/>
      <c r="E129" s="340"/>
      <c r="F129" s="340"/>
      <c r="G129" s="395"/>
      <c r="H129" s="670"/>
      <c r="I129" s="670"/>
      <c r="J129" s="670"/>
      <c r="K129" s="670"/>
      <c r="L129" s="670"/>
      <c r="M129" s="670"/>
    </row>
    <row r="130" spans="1:13" ht="16.5" hidden="1">
      <c r="A130" s="334"/>
      <c r="B130" s="318" t="s">
        <v>227</v>
      </c>
      <c r="C130" s="319" t="s">
        <v>113</v>
      </c>
      <c r="D130" s="319"/>
      <c r="E130" s="319"/>
      <c r="F130" s="319"/>
      <c r="G130" s="396">
        <f>SUM(G127:G128)</f>
        <v>388.22490400000004</v>
      </c>
      <c r="H130" s="670"/>
      <c r="I130" s="670"/>
      <c r="J130" s="670"/>
      <c r="K130" s="670"/>
      <c r="L130" s="670"/>
      <c r="M130" s="670"/>
    </row>
    <row r="131" spans="8:13" ht="15.75" hidden="1" thickBot="1">
      <c r="H131" s="371"/>
      <c r="I131" s="371"/>
      <c r="J131" s="371"/>
      <c r="K131" s="371"/>
      <c r="L131" s="371"/>
      <c r="M131" s="371"/>
    </row>
    <row r="132" spans="1:7" ht="21.75" customHeight="1" hidden="1">
      <c r="A132" s="305"/>
      <c r="B132" s="671" t="s">
        <v>281</v>
      </c>
      <c r="C132" s="671"/>
      <c r="D132" s="671"/>
      <c r="E132" s="671"/>
      <c r="F132" s="671"/>
      <c r="G132" s="369" t="s">
        <v>277</v>
      </c>
    </row>
    <row r="133" spans="1:7" ht="16.5" hidden="1" thickBot="1">
      <c r="A133" s="307"/>
      <c r="B133" s="678"/>
      <c r="C133" s="678"/>
      <c r="D133" s="678"/>
      <c r="E133" s="678"/>
      <c r="F133" s="678"/>
      <c r="G133" s="370"/>
    </row>
    <row r="134" spans="1:7" ht="16.5" hidden="1" thickBot="1">
      <c r="A134" s="296"/>
      <c r="B134" s="653" t="s">
        <v>212</v>
      </c>
      <c r="C134" s="653"/>
      <c r="D134" s="653"/>
      <c r="E134" s="653"/>
      <c r="F134" s="653"/>
      <c r="G134" s="653"/>
    </row>
    <row r="135" spans="1:7" ht="16.5" hidden="1" thickBot="1">
      <c r="A135" s="296"/>
      <c r="B135" s="311"/>
      <c r="C135" s="311"/>
      <c r="D135" s="312"/>
      <c r="E135" s="313" t="s">
        <v>213</v>
      </c>
      <c r="F135" s="313"/>
      <c r="G135" s="303"/>
    </row>
    <row r="136" spans="1:7" ht="16.5" hidden="1" thickBot="1">
      <c r="A136" s="296"/>
      <c r="B136" s="312" t="s">
        <v>93</v>
      </c>
      <c r="C136" s="315" t="s">
        <v>190</v>
      </c>
      <c r="D136" s="315" t="s">
        <v>95</v>
      </c>
      <c r="E136" s="315" t="s">
        <v>214</v>
      </c>
      <c r="F136" s="315" t="s">
        <v>96</v>
      </c>
      <c r="G136" s="372" t="s">
        <v>215</v>
      </c>
    </row>
    <row r="137" spans="1:7" ht="15.75" hidden="1">
      <c r="A137" s="317" t="s">
        <v>216</v>
      </c>
      <c r="B137" s="318" t="s">
        <v>98</v>
      </c>
      <c r="C137" s="319" t="s">
        <v>113</v>
      </c>
      <c r="D137" s="319"/>
      <c r="E137" s="319"/>
      <c r="F137" s="319"/>
      <c r="G137" s="378">
        <v>0</v>
      </c>
    </row>
    <row r="138" spans="1:7" ht="45.75" hidden="1">
      <c r="A138" s="321" t="s">
        <v>217</v>
      </c>
      <c r="B138" s="322" t="s">
        <v>218</v>
      </c>
      <c r="C138" s="319" t="s">
        <v>113</v>
      </c>
      <c r="D138" s="319"/>
      <c r="E138" s="319"/>
      <c r="F138" s="319"/>
      <c r="G138" s="378"/>
    </row>
    <row r="139" spans="1:7" ht="15.75" hidden="1">
      <c r="A139" s="323"/>
      <c r="B139" s="324" t="s">
        <v>100</v>
      </c>
      <c r="C139" s="325" t="s">
        <v>113</v>
      </c>
      <c r="D139" s="325"/>
      <c r="E139" s="325"/>
      <c r="F139" s="325"/>
      <c r="G139" s="380">
        <f>SUM(F140:F141)</f>
        <v>3.395523</v>
      </c>
    </row>
    <row r="140" spans="1:7" ht="30.75" hidden="1">
      <c r="A140" s="330">
        <v>88260</v>
      </c>
      <c r="B140" s="324" t="s">
        <v>282</v>
      </c>
      <c r="C140" s="325" t="s">
        <v>220</v>
      </c>
      <c r="D140" s="329">
        <v>0.1259</v>
      </c>
      <c r="E140" s="325">
        <v>15.2</v>
      </c>
      <c r="F140" s="329">
        <f>D140*E140</f>
        <v>1.91368</v>
      </c>
      <c r="G140" s="380"/>
    </row>
    <row r="141" spans="1:7" ht="30.75" hidden="1">
      <c r="A141" s="330">
        <v>88316</v>
      </c>
      <c r="B141" s="324" t="s">
        <v>283</v>
      </c>
      <c r="C141" s="325" t="s">
        <v>220</v>
      </c>
      <c r="D141" s="329">
        <v>0.1259</v>
      </c>
      <c r="E141" s="329">
        <v>11.77</v>
      </c>
      <c r="F141" s="329">
        <f>D141*E141</f>
        <v>1.481843</v>
      </c>
      <c r="G141" s="380"/>
    </row>
    <row r="142" spans="1:7" ht="15.75" hidden="1">
      <c r="A142" s="323"/>
      <c r="B142" s="324" t="s">
        <v>104</v>
      </c>
      <c r="C142" s="325" t="s">
        <v>113</v>
      </c>
      <c r="D142" s="329"/>
      <c r="E142" s="329"/>
      <c r="F142" s="329"/>
      <c r="G142" s="382">
        <f>SUM(F143:F149)</f>
        <v>42.663997</v>
      </c>
    </row>
    <row r="143" spans="1:7" ht="15.75" hidden="1">
      <c r="A143" s="351">
        <v>370</v>
      </c>
      <c r="B143" s="324" t="s">
        <v>278</v>
      </c>
      <c r="C143" s="383" t="s">
        <v>131</v>
      </c>
      <c r="D143" s="384">
        <v>0.0568</v>
      </c>
      <c r="E143" s="384">
        <v>60</v>
      </c>
      <c r="F143" s="384">
        <f aca="true" t="shared" si="3" ref="F143:F149">D143*E143</f>
        <v>3.4080000000000004</v>
      </c>
      <c r="G143" s="382"/>
    </row>
    <row r="144" spans="1:7" ht="15.75" hidden="1">
      <c r="A144" s="351">
        <v>4741</v>
      </c>
      <c r="B144" s="324" t="s">
        <v>284</v>
      </c>
      <c r="C144" s="383" t="s">
        <v>131</v>
      </c>
      <c r="D144" s="384">
        <v>0.0064</v>
      </c>
      <c r="E144" s="384">
        <v>47.73</v>
      </c>
      <c r="F144" s="384">
        <f t="shared" si="3"/>
        <v>0.305472</v>
      </c>
      <c r="G144" s="332"/>
    </row>
    <row r="145" spans="1:7" ht="30.75" hidden="1">
      <c r="A145" s="351" t="s">
        <v>285</v>
      </c>
      <c r="B145" s="324" t="s">
        <v>286</v>
      </c>
      <c r="C145" s="383" t="s">
        <v>137</v>
      </c>
      <c r="D145" s="384">
        <v>1</v>
      </c>
      <c r="E145" s="384">
        <v>38.75</v>
      </c>
      <c r="F145" s="384">
        <f t="shared" si="3"/>
        <v>38.75</v>
      </c>
      <c r="G145" s="332"/>
    </row>
    <row r="146" spans="1:7" ht="60.75" hidden="1">
      <c r="A146" s="351">
        <v>91277</v>
      </c>
      <c r="B146" s="324" t="s">
        <v>287</v>
      </c>
      <c r="C146" s="383" t="s">
        <v>288</v>
      </c>
      <c r="D146" s="397">
        <v>0.0041</v>
      </c>
      <c r="E146" s="384">
        <v>4</v>
      </c>
      <c r="F146" s="384">
        <f t="shared" si="3"/>
        <v>0.0164</v>
      </c>
      <c r="G146" s="332"/>
    </row>
    <row r="147" spans="1:7" ht="60.75" hidden="1">
      <c r="A147" s="351">
        <v>91278</v>
      </c>
      <c r="B147" s="324" t="s">
        <v>289</v>
      </c>
      <c r="C147" s="383" t="s">
        <v>290</v>
      </c>
      <c r="D147" s="384">
        <v>0.059</v>
      </c>
      <c r="E147" s="384">
        <v>0.51</v>
      </c>
      <c r="F147" s="384">
        <f t="shared" si="3"/>
        <v>0.03009</v>
      </c>
      <c r="G147" s="332"/>
    </row>
    <row r="148" spans="1:7" ht="75.75" hidden="1">
      <c r="A148" s="351">
        <v>91283</v>
      </c>
      <c r="B148" s="324" t="s">
        <v>291</v>
      </c>
      <c r="C148" s="383" t="s">
        <v>288</v>
      </c>
      <c r="D148" s="384">
        <v>0.0135</v>
      </c>
      <c r="E148" s="384">
        <v>8.66</v>
      </c>
      <c r="F148" s="384">
        <f t="shared" si="3"/>
        <v>0.11691</v>
      </c>
      <c r="G148" s="332"/>
    </row>
    <row r="149" spans="1:7" ht="75.75" hidden="1">
      <c r="A149" s="351">
        <v>91285</v>
      </c>
      <c r="B149" s="324" t="s">
        <v>292</v>
      </c>
      <c r="C149" s="389" t="s">
        <v>290</v>
      </c>
      <c r="D149" s="384">
        <v>0.0495</v>
      </c>
      <c r="E149" s="384">
        <v>0.75</v>
      </c>
      <c r="F149" s="384">
        <f t="shared" si="3"/>
        <v>0.037125000000000005</v>
      </c>
      <c r="G149" s="332"/>
    </row>
    <row r="150" spans="1:7" ht="15.75" hidden="1">
      <c r="A150" s="334"/>
      <c r="B150" s="335" t="s">
        <v>225</v>
      </c>
      <c r="C150" s="336" t="s">
        <v>113</v>
      </c>
      <c r="D150" s="337"/>
      <c r="E150" s="337"/>
      <c r="F150" s="337"/>
      <c r="G150" s="338">
        <f>SUM(G137:G143)</f>
        <v>46.05952</v>
      </c>
    </row>
    <row r="151" spans="1:7" ht="15.75" hidden="1">
      <c r="A151" s="323"/>
      <c r="B151" s="324" t="s">
        <v>226</v>
      </c>
      <c r="C151" s="325" t="s">
        <v>113</v>
      </c>
      <c r="D151" s="329"/>
      <c r="E151" s="329"/>
      <c r="F151" s="329"/>
      <c r="G151" s="332">
        <f>G150*G10</f>
        <v>11.0542848</v>
      </c>
    </row>
    <row r="152" spans="1:7" ht="15.75" hidden="1">
      <c r="A152" s="291"/>
      <c r="B152" s="339"/>
      <c r="C152" s="340"/>
      <c r="D152" s="340"/>
      <c r="E152" s="340"/>
      <c r="F152" s="340"/>
      <c r="G152" s="341"/>
    </row>
    <row r="153" spans="1:7" ht="15.75" hidden="1">
      <c r="A153" s="334"/>
      <c r="B153" s="318" t="s">
        <v>227</v>
      </c>
      <c r="C153" s="319" t="s">
        <v>113</v>
      </c>
      <c r="D153" s="319"/>
      <c r="E153" s="319"/>
      <c r="F153" s="319"/>
      <c r="G153" s="342">
        <f>SUM(G150:G151)</f>
        <v>57.1138048</v>
      </c>
    </row>
    <row r="154" ht="15.75" hidden="1" thickBot="1"/>
    <row r="155" spans="1:7" ht="15.75" hidden="1">
      <c r="A155" s="305"/>
      <c r="B155" s="671" t="s">
        <v>293</v>
      </c>
      <c r="C155" s="671"/>
      <c r="D155" s="671"/>
      <c r="E155" s="671"/>
      <c r="F155" s="671"/>
      <c r="G155" s="369" t="s">
        <v>238</v>
      </c>
    </row>
    <row r="156" spans="1:7" ht="16.5" hidden="1" thickBot="1">
      <c r="A156" s="348"/>
      <c r="B156" s="308"/>
      <c r="C156" s="309"/>
      <c r="D156" s="309"/>
      <c r="E156" s="309"/>
      <c r="F156" s="309"/>
      <c r="G156" s="370"/>
    </row>
    <row r="157" spans="1:7" ht="16.5" hidden="1" thickBot="1">
      <c r="A157" s="296"/>
      <c r="B157" s="653" t="s">
        <v>212</v>
      </c>
      <c r="C157" s="653"/>
      <c r="D157" s="653"/>
      <c r="E157" s="653"/>
      <c r="F157" s="653"/>
      <c r="G157" s="653"/>
    </row>
    <row r="158" spans="1:7" ht="16.5" hidden="1" thickBot="1">
      <c r="A158" s="296"/>
      <c r="B158" s="311"/>
      <c r="C158" s="311"/>
      <c r="D158" s="312"/>
      <c r="E158" s="313" t="s">
        <v>213</v>
      </c>
      <c r="F158" s="313"/>
      <c r="G158" s="303"/>
    </row>
    <row r="159" spans="1:7" ht="16.5" hidden="1" thickBot="1">
      <c r="A159" s="296"/>
      <c r="B159" s="312" t="s">
        <v>93</v>
      </c>
      <c r="C159" s="315" t="s">
        <v>190</v>
      </c>
      <c r="D159" s="315" t="s">
        <v>95</v>
      </c>
      <c r="E159" s="315" t="s">
        <v>214</v>
      </c>
      <c r="F159" s="315" t="s">
        <v>96</v>
      </c>
      <c r="G159" s="372" t="s">
        <v>215</v>
      </c>
    </row>
    <row r="160" spans="1:7" ht="15.75" hidden="1">
      <c r="A160" s="317" t="s">
        <v>216</v>
      </c>
      <c r="B160" s="318" t="s">
        <v>98</v>
      </c>
      <c r="C160" s="319" t="s">
        <v>113</v>
      </c>
      <c r="D160" s="319"/>
      <c r="E160" s="319"/>
      <c r="F160" s="319"/>
      <c r="G160" s="378">
        <v>0</v>
      </c>
    </row>
    <row r="161" spans="1:7" ht="45.75" hidden="1">
      <c r="A161" s="321" t="s">
        <v>217</v>
      </c>
      <c r="B161" s="322" t="s">
        <v>218</v>
      </c>
      <c r="C161" s="319" t="s">
        <v>113</v>
      </c>
      <c r="D161" s="319"/>
      <c r="E161" s="319"/>
      <c r="F161" s="319"/>
      <c r="G161" s="378"/>
    </row>
    <row r="162" spans="1:7" ht="15.75" hidden="1">
      <c r="A162" s="323"/>
      <c r="B162" s="324" t="s">
        <v>100</v>
      </c>
      <c r="C162" s="325" t="s">
        <v>113</v>
      </c>
      <c r="D162" s="325"/>
      <c r="E162" s="325"/>
      <c r="F162" s="325"/>
      <c r="G162" s="380">
        <f>SUM(F163:F164)</f>
        <v>16.6141</v>
      </c>
    </row>
    <row r="163" spans="1:7" ht="30.75" hidden="1">
      <c r="A163" s="330">
        <v>88441</v>
      </c>
      <c r="B163" s="324" t="s">
        <v>294</v>
      </c>
      <c r="C163" s="325" t="s">
        <v>220</v>
      </c>
      <c r="D163" s="329">
        <v>0.23</v>
      </c>
      <c r="E163" s="329">
        <v>11.85</v>
      </c>
      <c r="F163" s="329">
        <f>D163*E163</f>
        <v>2.7255000000000003</v>
      </c>
      <c r="G163" s="380"/>
    </row>
    <row r="164" spans="1:7" ht="30.75" hidden="1">
      <c r="A164" s="330">
        <v>88316</v>
      </c>
      <c r="B164" s="324" t="s">
        <v>283</v>
      </c>
      <c r="C164" s="325" t="s">
        <v>220</v>
      </c>
      <c r="D164" s="329">
        <v>1.18</v>
      </c>
      <c r="E164" s="329">
        <v>11.77</v>
      </c>
      <c r="F164" s="329">
        <f>D164*E164</f>
        <v>13.888599999999999</v>
      </c>
      <c r="G164" s="380"/>
    </row>
    <row r="165" spans="1:7" ht="15.75" hidden="1">
      <c r="A165" s="323"/>
      <c r="B165" s="324" t="s">
        <v>104</v>
      </c>
      <c r="C165" s="325" t="s">
        <v>113</v>
      </c>
      <c r="D165" s="329"/>
      <c r="E165" s="329"/>
      <c r="F165" s="329"/>
      <c r="G165" s="382">
        <f>SUM(F166:F171)</f>
        <v>170.75255</v>
      </c>
    </row>
    <row r="166" spans="1:7" ht="45.75" hidden="1">
      <c r="A166" s="387">
        <v>359</v>
      </c>
      <c r="B166" s="324" t="s">
        <v>295</v>
      </c>
      <c r="C166" s="383" t="s">
        <v>190</v>
      </c>
      <c r="D166" s="384">
        <v>1</v>
      </c>
      <c r="E166" s="384">
        <v>131.03</v>
      </c>
      <c r="F166" s="384">
        <f aca="true" t="shared" si="4" ref="F166:F171">D166*E166</f>
        <v>131.03</v>
      </c>
      <c r="G166" s="382"/>
    </row>
    <row r="167" spans="1:7" ht="30.75" hidden="1">
      <c r="A167" s="387">
        <v>370</v>
      </c>
      <c r="B167" s="324" t="s">
        <v>296</v>
      </c>
      <c r="C167" s="383" t="s">
        <v>131</v>
      </c>
      <c r="D167" s="384">
        <v>0.0064</v>
      </c>
      <c r="E167" s="384">
        <v>60</v>
      </c>
      <c r="F167" s="384">
        <f t="shared" si="4"/>
        <v>0.384</v>
      </c>
      <c r="G167" s="382"/>
    </row>
    <row r="168" spans="1:7" ht="15.75" hidden="1">
      <c r="A168" s="351">
        <v>7253</v>
      </c>
      <c r="B168" s="324" t="s">
        <v>297</v>
      </c>
      <c r="C168" s="389" t="s">
        <v>131</v>
      </c>
      <c r="D168" s="384">
        <v>0.205</v>
      </c>
      <c r="E168" s="384">
        <v>85.71</v>
      </c>
      <c r="F168" s="384">
        <f t="shared" si="4"/>
        <v>17.570549999999997</v>
      </c>
      <c r="G168" s="382"/>
    </row>
    <row r="169" spans="1:7" ht="15.75" hidden="1">
      <c r="A169" s="351">
        <v>25951</v>
      </c>
      <c r="B169" s="324" t="s">
        <v>298</v>
      </c>
      <c r="C169" s="389" t="s">
        <v>126</v>
      </c>
      <c r="D169" s="384">
        <v>0.8</v>
      </c>
      <c r="E169" s="384">
        <v>1.64</v>
      </c>
      <c r="F169" s="384">
        <f t="shared" si="4"/>
        <v>1.312</v>
      </c>
      <c r="G169" s="382"/>
    </row>
    <row r="170" spans="1:7" ht="30.75" hidden="1">
      <c r="A170" s="351">
        <v>25963</v>
      </c>
      <c r="B170" s="324" t="s">
        <v>299</v>
      </c>
      <c r="C170" s="389" t="s">
        <v>126</v>
      </c>
      <c r="D170" s="384">
        <v>0.8</v>
      </c>
      <c r="E170" s="384">
        <v>0.07</v>
      </c>
      <c r="F170" s="384">
        <f t="shared" si="4"/>
        <v>0.05600000000000001</v>
      </c>
      <c r="G170" s="382"/>
    </row>
    <row r="171" spans="1:7" ht="18" customHeight="1" hidden="1">
      <c r="A171" s="351">
        <v>38125</v>
      </c>
      <c r="B171" s="324" t="s">
        <v>300</v>
      </c>
      <c r="C171" s="389" t="s">
        <v>126</v>
      </c>
      <c r="D171" s="384">
        <v>30</v>
      </c>
      <c r="E171" s="384">
        <v>0.68</v>
      </c>
      <c r="F171" s="384">
        <f t="shared" si="4"/>
        <v>20.400000000000002</v>
      </c>
      <c r="G171" s="382"/>
    </row>
    <row r="172" spans="1:7" ht="15.75" hidden="1">
      <c r="A172" s="334"/>
      <c r="B172" s="335" t="s">
        <v>225</v>
      </c>
      <c r="C172" s="336" t="s">
        <v>113</v>
      </c>
      <c r="D172" s="337"/>
      <c r="E172" s="337"/>
      <c r="F172" s="337"/>
      <c r="G172" s="390">
        <f>SUM(G160:G166)</f>
        <v>187.36665000000002</v>
      </c>
    </row>
    <row r="173" spans="1:7" ht="15.75" hidden="1">
      <c r="A173" s="323"/>
      <c r="B173" s="324" t="s">
        <v>226</v>
      </c>
      <c r="C173" s="325" t="s">
        <v>113</v>
      </c>
      <c r="D173" s="329"/>
      <c r="E173" s="329"/>
      <c r="F173" s="329"/>
      <c r="G173" s="382">
        <f>G172*G10</f>
        <v>44.96799600000001</v>
      </c>
    </row>
    <row r="174" spans="1:7" ht="15.75" hidden="1">
      <c r="A174" s="291"/>
      <c r="B174" s="339"/>
      <c r="C174" s="340"/>
      <c r="D174" s="340"/>
      <c r="E174" s="340"/>
      <c r="F174" s="340"/>
      <c r="G174" s="395"/>
    </row>
    <row r="175" spans="1:7" ht="15.75" hidden="1">
      <c r="A175" s="334"/>
      <c r="B175" s="318" t="s">
        <v>227</v>
      </c>
      <c r="C175" s="319" t="s">
        <v>113</v>
      </c>
      <c r="D175" s="319"/>
      <c r="E175" s="319"/>
      <c r="F175" s="319"/>
      <c r="G175" s="398">
        <f>SUM(G172:G173)</f>
        <v>232.33464600000002</v>
      </c>
    </row>
    <row r="176" ht="15.75" hidden="1" thickBot="1"/>
    <row r="177" spans="1:7" ht="15.75" hidden="1">
      <c r="A177" s="305"/>
      <c r="B177" s="671" t="s">
        <v>301</v>
      </c>
      <c r="C177" s="671"/>
      <c r="D177" s="671"/>
      <c r="E177" s="671"/>
      <c r="F177" s="671"/>
      <c r="G177" s="369" t="s">
        <v>238</v>
      </c>
    </row>
    <row r="178" spans="1:7" ht="16.5" hidden="1" thickBot="1">
      <c r="A178" s="348"/>
      <c r="B178" s="308"/>
      <c r="C178" s="309"/>
      <c r="D178" s="309"/>
      <c r="E178" s="309"/>
      <c r="F178" s="309"/>
      <c r="G178" s="370"/>
    </row>
    <row r="179" spans="1:7" ht="16.5" hidden="1" thickBot="1">
      <c r="A179" s="296"/>
      <c r="B179" s="653" t="s">
        <v>212</v>
      </c>
      <c r="C179" s="653"/>
      <c r="D179" s="653"/>
      <c r="E179" s="653"/>
      <c r="F179" s="653"/>
      <c r="G179" s="653"/>
    </row>
    <row r="180" spans="1:7" ht="16.5" hidden="1" thickBot="1">
      <c r="A180" s="296"/>
      <c r="B180" s="311"/>
      <c r="C180" s="311"/>
      <c r="D180" s="312"/>
      <c r="E180" s="313" t="s">
        <v>213</v>
      </c>
      <c r="F180" s="313"/>
      <c r="G180" s="303"/>
    </row>
    <row r="181" spans="1:7" ht="16.5" hidden="1" thickBot="1">
      <c r="A181" s="296"/>
      <c r="B181" s="312" t="s">
        <v>93</v>
      </c>
      <c r="C181" s="315" t="s">
        <v>190</v>
      </c>
      <c r="D181" s="315" t="s">
        <v>95</v>
      </c>
      <c r="E181" s="315" t="s">
        <v>214</v>
      </c>
      <c r="F181" s="315" t="s">
        <v>96</v>
      </c>
      <c r="G181" s="372" t="s">
        <v>215</v>
      </c>
    </row>
    <row r="182" spans="1:7" ht="15.75" hidden="1">
      <c r="A182" s="317" t="s">
        <v>216</v>
      </c>
      <c r="B182" s="318" t="s">
        <v>98</v>
      </c>
      <c r="C182" s="319" t="s">
        <v>113</v>
      </c>
      <c r="D182" s="319"/>
      <c r="E182" s="319"/>
      <c r="F182" s="319"/>
      <c r="G182" s="378">
        <v>0</v>
      </c>
    </row>
    <row r="183" spans="1:7" ht="45.75" hidden="1">
      <c r="A183" s="321" t="s">
        <v>217</v>
      </c>
      <c r="B183" s="322" t="s">
        <v>218</v>
      </c>
      <c r="C183" s="319" t="s">
        <v>113</v>
      </c>
      <c r="D183" s="319"/>
      <c r="E183" s="319"/>
      <c r="F183" s="319"/>
      <c r="G183" s="378"/>
    </row>
    <row r="184" spans="1:7" ht="15.75" hidden="1">
      <c r="A184" s="323"/>
      <c r="B184" s="324" t="s">
        <v>100</v>
      </c>
      <c r="C184" s="325" t="s">
        <v>113</v>
      </c>
      <c r="D184" s="325"/>
      <c r="E184" s="325"/>
      <c r="F184" s="325"/>
      <c r="G184" s="380">
        <f>SUM(F185:F186)</f>
        <v>16.6141</v>
      </c>
    </row>
    <row r="185" spans="1:7" ht="30.75" hidden="1">
      <c r="A185" s="330">
        <v>88441</v>
      </c>
      <c r="B185" s="324" t="s">
        <v>294</v>
      </c>
      <c r="C185" s="325" t="s">
        <v>220</v>
      </c>
      <c r="D185" s="329">
        <v>0.23</v>
      </c>
      <c r="E185" s="329">
        <v>11.85</v>
      </c>
      <c r="F185" s="329">
        <f>D185*E185</f>
        <v>2.7255000000000003</v>
      </c>
      <c r="G185" s="380"/>
    </row>
    <row r="186" spans="1:7" ht="30.75" hidden="1">
      <c r="A186" s="330">
        <v>88316</v>
      </c>
      <c r="B186" s="324" t="s">
        <v>283</v>
      </c>
      <c r="C186" s="325" t="s">
        <v>220</v>
      </c>
      <c r="D186" s="329">
        <v>1.18</v>
      </c>
      <c r="E186" s="329">
        <v>11.77</v>
      </c>
      <c r="F186" s="329">
        <f>D186*E186</f>
        <v>13.888599999999999</v>
      </c>
      <c r="G186" s="380"/>
    </row>
    <row r="187" spans="1:7" ht="15.75" hidden="1">
      <c r="A187" s="323"/>
      <c r="B187" s="324" t="s">
        <v>104</v>
      </c>
      <c r="C187" s="325" t="s">
        <v>113</v>
      </c>
      <c r="D187" s="329"/>
      <c r="E187" s="329"/>
      <c r="F187" s="329"/>
      <c r="G187" s="382">
        <f>SUM(F188:F193)</f>
        <v>103.51254999999999</v>
      </c>
    </row>
    <row r="188" spans="1:7" ht="45.75" hidden="1">
      <c r="A188" s="387">
        <v>358</v>
      </c>
      <c r="B188" s="324" t="s">
        <v>302</v>
      </c>
      <c r="C188" s="383" t="s">
        <v>190</v>
      </c>
      <c r="D188" s="384">
        <v>1</v>
      </c>
      <c r="E188" s="384">
        <v>63.79</v>
      </c>
      <c r="F188" s="384">
        <f aca="true" t="shared" si="5" ref="F188:F193">D188*E188</f>
        <v>63.79</v>
      </c>
      <c r="G188" s="382"/>
    </row>
    <row r="189" spans="1:7" ht="30.75" hidden="1">
      <c r="A189" s="387">
        <v>370</v>
      </c>
      <c r="B189" s="324" t="s">
        <v>296</v>
      </c>
      <c r="C189" s="383" t="s">
        <v>131</v>
      </c>
      <c r="D189" s="384">
        <v>0.0064</v>
      </c>
      <c r="E189" s="384">
        <v>60</v>
      </c>
      <c r="F189" s="384">
        <f t="shared" si="5"/>
        <v>0.384</v>
      </c>
      <c r="G189" s="382"/>
    </row>
    <row r="190" spans="1:7" ht="15.75" hidden="1">
      <c r="A190" s="351">
        <v>7253</v>
      </c>
      <c r="B190" s="324" t="s">
        <v>297</v>
      </c>
      <c r="C190" s="389" t="s">
        <v>131</v>
      </c>
      <c r="D190" s="384">
        <v>0.205</v>
      </c>
      <c r="E190" s="384">
        <v>85.71</v>
      </c>
      <c r="F190" s="384">
        <f t="shared" si="5"/>
        <v>17.570549999999997</v>
      </c>
      <c r="G190" s="382"/>
    </row>
    <row r="191" spans="1:7" ht="15.75" hidden="1">
      <c r="A191" s="351">
        <v>25951</v>
      </c>
      <c r="B191" s="324" t="s">
        <v>298</v>
      </c>
      <c r="C191" s="389" t="s">
        <v>126</v>
      </c>
      <c r="D191" s="384">
        <v>0.8</v>
      </c>
      <c r="E191" s="384">
        <v>1.64</v>
      </c>
      <c r="F191" s="384">
        <f t="shared" si="5"/>
        <v>1.312</v>
      </c>
      <c r="G191" s="382"/>
    </row>
    <row r="192" spans="1:7" ht="30.75" hidden="1">
      <c r="A192" s="351">
        <v>25963</v>
      </c>
      <c r="B192" s="324" t="s">
        <v>299</v>
      </c>
      <c r="C192" s="389" t="s">
        <v>126</v>
      </c>
      <c r="D192" s="384">
        <v>0.8</v>
      </c>
      <c r="E192" s="384">
        <v>0.07</v>
      </c>
      <c r="F192" s="384">
        <f t="shared" si="5"/>
        <v>0.05600000000000001</v>
      </c>
      <c r="G192" s="382"/>
    </row>
    <row r="193" spans="1:7" ht="30.75" hidden="1">
      <c r="A193" s="351">
        <v>38125</v>
      </c>
      <c r="B193" s="324" t="s">
        <v>300</v>
      </c>
      <c r="C193" s="389" t="s">
        <v>126</v>
      </c>
      <c r="D193" s="384">
        <v>30</v>
      </c>
      <c r="E193" s="384">
        <v>0.68</v>
      </c>
      <c r="F193" s="384">
        <f t="shared" si="5"/>
        <v>20.400000000000002</v>
      </c>
      <c r="G193" s="382"/>
    </row>
    <row r="194" spans="1:7" ht="15.75" hidden="1">
      <c r="A194" s="334"/>
      <c r="B194" s="335" t="s">
        <v>225</v>
      </c>
      <c r="C194" s="336" t="s">
        <v>113</v>
      </c>
      <c r="D194" s="337"/>
      <c r="E194" s="337"/>
      <c r="F194" s="337"/>
      <c r="G194" s="390">
        <f>SUM(G182:G188)</f>
        <v>120.12664999999998</v>
      </c>
    </row>
    <row r="195" spans="1:7" ht="15.75" hidden="1">
      <c r="A195" s="323"/>
      <c r="B195" s="324" t="s">
        <v>226</v>
      </c>
      <c r="C195" s="325" t="s">
        <v>113</v>
      </c>
      <c r="D195" s="329"/>
      <c r="E195" s="329"/>
      <c r="F195" s="329"/>
      <c r="G195" s="382">
        <f>G194*G33</f>
        <v>11.204789253420001</v>
      </c>
    </row>
    <row r="196" spans="1:7" ht="15.75" hidden="1">
      <c r="A196" s="291"/>
      <c r="B196" s="339"/>
      <c r="C196" s="340"/>
      <c r="D196" s="340"/>
      <c r="E196" s="340"/>
      <c r="F196" s="340"/>
      <c r="G196" s="395"/>
    </row>
    <row r="197" spans="1:7" ht="15.75" hidden="1">
      <c r="A197" s="334"/>
      <c r="B197" s="318" t="s">
        <v>227</v>
      </c>
      <c r="C197" s="319" t="s">
        <v>113</v>
      </c>
      <c r="D197" s="319"/>
      <c r="E197" s="319"/>
      <c r="F197" s="319"/>
      <c r="G197" s="398">
        <f>SUM(G194:G195)</f>
        <v>131.33143925341997</v>
      </c>
    </row>
    <row r="198" spans="1:7" ht="15.75" hidden="1" thickBot="1">
      <c r="A198" s="348"/>
      <c r="B198" s="348"/>
      <c r="C198" s="348"/>
      <c r="D198" s="348"/>
      <c r="E198" s="348"/>
      <c r="F198" s="348"/>
      <c r="G198" s="348"/>
    </row>
    <row r="199" spans="1:7" ht="15.75" hidden="1">
      <c r="A199" s="346"/>
      <c r="B199" s="667" t="s">
        <v>303</v>
      </c>
      <c r="C199" s="667"/>
      <c r="D199" s="667"/>
      <c r="E199" s="667"/>
      <c r="F199" s="667"/>
      <c r="G199" s="306" t="s">
        <v>229</v>
      </c>
    </row>
    <row r="200" spans="1:7" ht="16.5" hidden="1" thickBot="1">
      <c r="A200" s="348"/>
      <c r="B200" s="308" t="s">
        <v>304</v>
      </c>
      <c r="C200" s="309"/>
      <c r="D200" s="309"/>
      <c r="E200" s="309"/>
      <c r="F200" s="309"/>
      <c r="G200" s="310"/>
    </row>
    <row r="201" spans="1:7" ht="16.5" hidden="1" thickBot="1">
      <c r="A201" s="296"/>
      <c r="B201" s="653" t="s">
        <v>212</v>
      </c>
      <c r="C201" s="653"/>
      <c r="D201" s="653"/>
      <c r="E201" s="653"/>
      <c r="F201" s="653"/>
      <c r="G201" s="654"/>
    </row>
    <row r="202" spans="1:7" ht="16.5" hidden="1" thickBot="1">
      <c r="A202" s="296"/>
      <c r="B202" s="311"/>
      <c r="C202" s="311"/>
      <c r="D202" s="312"/>
      <c r="E202" s="313" t="s">
        <v>213</v>
      </c>
      <c r="F202" s="313"/>
      <c r="G202" s="304"/>
    </row>
    <row r="203" spans="1:7" ht="16.5" hidden="1" thickBot="1">
      <c r="A203" s="296"/>
      <c r="B203" s="312" t="s">
        <v>93</v>
      </c>
      <c r="C203" s="315" t="s">
        <v>190</v>
      </c>
      <c r="D203" s="315" t="s">
        <v>95</v>
      </c>
      <c r="E203" s="315" t="s">
        <v>214</v>
      </c>
      <c r="F203" s="315" t="s">
        <v>96</v>
      </c>
      <c r="G203" s="316" t="s">
        <v>215</v>
      </c>
    </row>
    <row r="204" spans="1:7" ht="15.75" hidden="1">
      <c r="A204" s="317" t="s">
        <v>216</v>
      </c>
      <c r="B204" s="318" t="s">
        <v>98</v>
      </c>
      <c r="C204" s="319" t="s">
        <v>113</v>
      </c>
      <c r="D204" s="319"/>
      <c r="E204" s="319"/>
      <c r="F204" s="319"/>
      <c r="G204" s="320">
        <v>0</v>
      </c>
    </row>
    <row r="205" spans="1:7" ht="45.75" hidden="1">
      <c r="A205" s="321" t="s">
        <v>251</v>
      </c>
      <c r="B205" s="322" t="s">
        <v>218</v>
      </c>
      <c r="C205" s="319" t="s">
        <v>113</v>
      </c>
      <c r="D205" s="319"/>
      <c r="E205" s="319"/>
      <c r="F205" s="319"/>
      <c r="G205" s="320"/>
    </row>
    <row r="206" spans="1:7" ht="15.75" hidden="1">
      <c r="A206" s="323"/>
      <c r="B206" s="324" t="s">
        <v>100</v>
      </c>
      <c r="C206" s="325" t="s">
        <v>113</v>
      </c>
      <c r="D206" s="325"/>
      <c r="E206" s="325"/>
      <c r="F206" s="325"/>
      <c r="G206" s="326">
        <f>SUM(F207:F208)</f>
        <v>10.194</v>
      </c>
    </row>
    <row r="207" spans="1:7" ht="15.75" hidden="1">
      <c r="A207" s="330">
        <v>88309</v>
      </c>
      <c r="B207" s="324" t="s">
        <v>124</v>
      </c>
      <c r="C207" s="325" t="s">
        <v>220</v>
      </c>
      <c r="D207" s="329">
        <v>0.3</v>
      </c>
      <c r="E207" s="329">
        <v>14.88</v>
      </c>
      <c r="F207" s="329">
        <f>D207*E207</f>
        <v>4.464</v>
      </c>
      <c r="G207" s="326"/>
    </row>
    <row r="208" spans="1:7" ht="15.75" hidden="1">
      <c r="A208" s="330">
        <v>88316</v>
      </c>
      <c r="B208" s="324" t="s">
        <v>103</v>
      </c>
      <c r="C208" s="325" t="s">
        <v>220</v>
      </c>
      <c r="D208" s="329">
        <v>0.5</v>
      </c>
      <c r="E208" s="329">
        <v>11.46</v>
      </c>
      <c r="F208" s="329">
        <f>D208*E208</f>
        <v>5.73</v>
      </c>
      <c r="G208" s="326"/>
    </row>
    <row r="209" spans="1:7" ht="15.75" hidden="1">
      <c r="A209" s="323"/>
      <c r="B209" s="324" t="s">
        <v>104</v>
      </c>
      <c r="C209" s="325" t="s">
        <v>113</v>
      </c>
      <c r="D209" s="329"/>
      <c r="E209" s="329"/>
      <c r="F209" s="329"/>
      <c r="G209" s="332">
        <f>SUM(F210:F214)</f>
        <v>1461.69984</v>
      </c>
    </row>
    <row r="210" spans="1:9" ht="30.75" hidden="1">
      <c r="A210" s="399" t="s">
        <v>305</v>
      </c>
      <c r="B210" s="324" t="s">
        <v>306</v>
      </c>
      <c r="C210" s="325" t="s">
        <v>232</v>
      </c>
      <c r="D210" s="328">
        <f>3.88*0.6</f>
        <v>2.328</v>
      </c>
      <c r="E210" s="400">
        <v>301.77</v>
      </c>
      <c r="F210" s="329">
        <f>D210*E210</f>
        <v>702.5205599999999</v>
      </c>
      <c r="G210" s="332"/>
      <c r="I210" s="290">
        <f>0.8775*0.2</f>
        <v>0.1755</v>
      </c>
    </row>
    <row r="211" spans="1:9" ht="60.75" hidden="1">
      <c r="A211" s="399" t="s">
        <v>307</v>
      </c>
      <c r="B211" s="324" t="s">
        <v>308</v>
      </c>
      <c r="C211" s="325" t="s">
        <v>128</v>
      </c>
      <c r="D211" s="328">
        <f>D210*10.98</f>
        <v>25.56144</v>
      </c>
      <c r="E211" s="400">
        <v>6</v>
      </c>
      <c r="F211" s="329">
        <f>D211*E211</f>
        <v>153.36864</v>
      </c>
      <c r="G211" s="332"/>
      <c r="I211" s="290">
        <v>1.4</v>
      </c>
    </row>
    <row r="212" spans="1:7" ht="40.5" customHeight="1" hidden="1">
      <c r="A212" s="399" t="s">
        <v>309</v>
      </c>
      <c r="B212" s="324" t="s">
        <v>310</v>
      </c>
      <c r="C212" s="325" t="s">
        <v>232</v>
      </c>
      <c r="D212" s="328">
        <f>D210</f>
        <v>2.328</v>
      </c>
      <c r="E212" s="400">
        <v>77.88</v>
      </c>
      <c r="F212" s="329">
        <f>D212*E212</f>
        <v>181.30463999999998</v>
      </c>
      <c r="G212" s="332"/>
    </row>
    <row r="213" spans="1:7" ht="96.75" customHeight="1" hidden="1">
      <c r="A213" s="399">
        <v>92443</v>
      </c>
      <c r="B213" s="324" t="s">
        <v>311</v>
      </c>
      <c r="C213" s="325" t="s">
        <v>247</v>
      </c>
      <c r="D213" s="328">
        <v>20.36</v>
      </c>
      <c r="E213" s="400">
        <v>20.85</v>
      </c>
      <c r="F213" s="329">
        <f>D213*E213</f>
        <v>424.50600000000003</v>
      </c>
      <c r="G213" s="332"/>
    </row>
    <row r="214" spans="1:7" ht="15.75" hidden="1">
      <c r="A214" s="351"/>
      <c r="B214" s="324"/>
      <c r="C214" s="325"/>
      <c r="D214" s="329"/>
      <c r="E214" s="329"/>
      <c r="F214" s="329"/>
      <c r="G214" s="332"/>
    </row>
    <row r="215" spans="1:7" ht="15.75" hidden="1">
      <c r="A215" s="334"/>
      <c r="B215" s="335" t="s">
        <v>225</v>
      </c>
      <c r="C215" s="336" t="s">
        <v>113</v>
      </c>
      <c r="D215" s="337"/>
      <c r="E215" s="337"/>
      <c r="F215" s="337"/>
      <c r="G215" s="338">
        <f>SUM(G204:G210)</f>
        <v>1471.89384</v>
      </c>
    </row>
    <row r="216" spans="1:7" ht="15.75" hidden="1">
      <c r="A216" s="323"/>
      <c r="B216" s="324" t="s">
        <v>226</v>
      </c>
      <c r="C216" s="325" t="s">
        <v>113</v>
      </c>
      <c r="D216" s="329"/>
      <c r="E216" s="329"/>
      <c r="F216" s="329"/>
      <c r="G216" s="332">
        <f>G215*G10</f>
        <v>353.2545216</v>
      </c>
    </row>
    <row r="217" spans="1:7" ht="15.75" hidden="1">
      <c r="A217" s="291"/>
      <c r="B217" s="339"/>
      <c r="C217" s="340"/>
      <c r="D217" s="340"/>
      <c r="E217" s="340"/>
      <c r="F217" s="340"/>
      <c r="G217" s="341"/>
    </row>
    <row r="218" spans="1:7" ht="15.75" hidden="1">
      <c r="A218" s="334"/>
      <c r="B218" s="318" t="s">
        <v>227</v>
      </c>
      <c r="C218" s="319" t="s">
        <v>113</v>
      </c>
      <c r="D218" s="319"/>
      <c r="E218" s="319"/>
      <c r="F218" s="319"/>
      <c r="G218" s="342">
        <f>SUM(G215:G216)</f>
        <v>1825.1483616</v>
      </c>
    </row>
    <row r="219" ht="15.75" hidden="1" thickBot="1"/>
    <row r="220" spans="1:7" ht="16.5" hidden="1" thickBot="1">
      <c r="A220" s="357"/>
      <c r="B220" s="669" t="s">
        <v>312</v>
      </c>
      <c r="C220" s="669"/>
      <c r="D220" s="669"/>
      <c r="E220" s="669"/>
      <c r="F220" s="669"/>
      <c r="G220" s="358" t="s">
        <v>238</v>
      </c>
    </row>
    <row r="221" spans="1:7" ht="16.5" hidden="1" thickBot="1">
      <c r="A221" s="296"/>
      <c r="B221" s="653" t="s">
        <v>212</v>
      </c>
      <c r="C221" s="653"/>
      <c r="D221" s="653"/>
      <c r="E221" s="653"/>
      <c r="F221" s="653"/>
      <c r="G221" s="654"/>
    </row>
    <row r="222" spans="1:7" ht="16.5" hidden="1" thickBot="1">
      <c r="A222" s="296"/>
      <c r="B222" s="311"/>
      <c r="C222" s="311"/>
      <c r="D222" s="312"/>
      <c r="E222" s="313" t="s">
        <v>213</v>
      </c>
      <c r="F222" s="313"/>
      <c r="G222" s="304"/>
    </row>
    <row r="223" spans="1:7" ht="16.5" hidden="1" thickBot="1">
      <c r="A223" s="296"/>
      <c r="B223" s="312" t="s">
        <v>93</v>
      </c>
      <c r="C223" s="315" t="s">
        <v>190</v>
      </c>
      <c r="D223" s="315" t="s">
        <v>95</v>
      </c>
      <c r="E223" s="315" t="s">
        <v>214</v>
      </c>
      <c r="F223" s="315" t="s">
        <v>96</v>
      </c>
      <c r="G223" s="316" t="s">
        <v>215</v>
      </c>
    </row>
    <row r="224" spans="1:7" ht="15.75" hidden="1">
      <c r="A224" s="317" t="s">
        <v>216</v>
      </c>
      <c r="B224" s="318" t="s">
        <v>98</v>
      </c>
      <c r="C224" s="319" t="s">
        <v>113</v>
      </c>
      <c r="D224" s="319"/>
      <c r="E224" s="319"/>
      <c r="F224" s="319"/>
      <c r="G224" s="320">
        <v>0</v>
      </c>
    </row>
    <row r="225" spans="1:7" ht="45.75" hidden="1">
      <c r="A225" s="321" t="s">
        <v>251</v>
      </c>
      <c r="B225" s="322" t="s">
        <v>218</v>
      </c>
      <c r="C225" s="319" t="s">
        <v>113</v>
      </c>
      <c r="D225" s="319"/>
      <c r="E225" s="319"/>
      <c r="F225" s="319"/>
      <c r="G225" s="320"/>
    </row>
    <row r="226" spans="1:7" ht="15.75" hidden="1">
      <c r="A226" s="323"/>
      <c r="B226" s="324" t="s">
        <v>100</v>
      </c>
      <c r="C226" s="325" t="s">
        <v>113</v>
      </c>
      <c r="D226" s="325"/>
      <c r="E226" s="325"/>
      <c r="F226" s="325"/>
      <c r="G226" s="326">
        <f>SUM(F227:F228)</f>
        <v>149.035</v>
      </c>
    </row>
    <row r="227" spans="1:7" ht="15.75" hidden="1">
      <c r="A227" s="330">
        <v>88262</v>
      </c>
      <c r="B227" s="324" t="s">
        <v>123</v>
      </c>
      <c r="C227" s="325" t="s">
        <v>220</v>
      </c>
      <c r="D227" s="329">
        <v>6.5</v>
      </c>
      <c r="E227" s="329">
        <v>14.78</v>
      </c>
      <c r="F227" s="329">
        <f>D227*E227</f>
        <v>96.07</v>
      </c>
      <c r="G227" s="326"/>
    </row>
    <row r="228" spans="1:7" ht="15.75" hidden="1">
      <c r="A228" s="330">
        <v>88316</v>
      </c>
      <c r="B228" s="324" t="s">
        <v>103</v>
      </c>
      <c r="C228" s="325" t="s">
        <v>220</v>
      </c>
      <c r="D228" s="329">
        <v>4.5</v>
      </c>
      <c r="E228" s="329">
        <v>11.77</v>
      </c>
      <c r="F228" s="329">
        <f>D228*E228</f>
        <v>52.964999999999996</v>
      </c>
      <c r="G228" s="326"/>
    </row>
    <row r="229" spans="1:7" ht="15.75" hidden="1">
      <c r="A229" s="323"/>
      <c r="B229" s="324" t="s">
        <v>104</v>
      </c>
      <c r="C229" s="325" t="s">
        <v>113</v>
      </c>
      <c r="D229" s="329"/>
      <c r="E229" s="329"/>
      <c r="F229" s="329"/>
      <c r="G229" s="326">
        <f>SUM(F230:F232)</f>
        <v>1012.1064</v>
      </c>
    </row>
    <row r="230" spans="1:8" ht="30.75" hidden="1">
      <c r="A230" s="349">
        <v>20209</v>
      </c>
      <c r="B230" s="324" t="s">
        <v>313</v>
      </c>
      <c r="C230" s="325" t="s">
        <v>70</v>
      </c>
      <c r="D230" s="329">
        <v>102.68</v>
      </c>
      <c r="E230" s="329">
        <v>9.6</v>
      </c>
      <c r="F230" s="329">
        <f>D230*E230</f>
        <v>985.7280000000001</v>
      </c>
      <c r="G230" s="326"/>
      <c r="H230" s="290">
        <f>15*5.6+2*6.34+3*2</f>
        <v>102.68</v>
      </c>
    </row>
    <row r="231" spans="1:7" ht="15.75" hidden="1">
      <c r="A231" s="331" t="s">
        <v>265</v>
      </c>
      <c r="B231" s="324" t="s">
        <v>266</v>
      </c>
      <c r="C231" s="325" t="s">
        <v>314</v>
      </c>
      <c r="D231" s="329">
        <v>4</v>
      </c>
      <c r="E231" s="329">
        <v>0.47</v>
      </c>
      <c r="F231" s="329">
        <f>D231*E231</f>
        <v>1.88</v>
      </c>
      <c r="G231" s="332"/>
    </row>
    <row r="232" spans="1:7" ht="15.75" hidden="1">
      <c r="A232" s="330">
        <v>5067</v>
      </c>
      <c r="B232" s="359" t="s">
        <v>315</v>
      </c>
      <c r="C232" s="325" t="s">
        <v>128</v>
      </c>
      <c r="D232" s="329">
        <v>2.26</v>
      </c>
      <c r="E232" s="329">
        <v>10.84</v>
      </c>
      <c r="F232" s="329">
        <f>D232*E232</f>
        <v>24.498399999999997</v>
      </c>
      <c r="G232" s="332"/>
    </row>
    <row r="233" spans="1:7" ht="15.75" hidden="1">
      <c r="A233" s="334"/>
      <c r="B233" s="318" t="s">
        <v>225</v>
      </c>
      <c r="C233" s="319" t="s">
        <v>113</v>
      </c>
      <c r="D233" s="319"/>
      <c r="E233" s="319"/>
      <c r="F233" s="319"/>
      <c r="G233" s="342">
        <f>SUM(G224:G232)</f>
        <v>1161.1414</v>
      </c>
    </row>
    <row r="234" spans="1:7" ht="15.75" hidden="1">
      <c r="A234" s="323"/>
      <c r="B234" s="324" t="s">
        <v>226</v>
      </c>
      <c r="C234" s="325" t="s">
        <v>113</v>
      </c>
      <c r="D234" s="325"/>
      <c r="E234" s="325"/>
      <c r="F234" s="325"/>
      <c r="G234" s="326">
        <f>G233*G10</f>
        <v>278.67393599999997</v>
      </c>
    </row>
    <row r="235" spans="1:7" ht="15.75" hidden="1">
      <c r="A235" s="291"/>
      <c r="B235" s="360"/>
      <c r="C235" s="303"/>
      <c r="D235" s="303"/>
      <c r="E235" s="303"/>
      <c r="F235" s="303"/>
      <c r="G235" s="361"/>
    </row>
    <row r="236" spans="1:7" ht="15.75" hidden="1">
      <c r="A236" s="334"/>
      <c r="B236" s="318" t="s">
        <v>227</v>
      </c>
      <c r="C236" s="319" t="s">
        <v>113</v>
      </c>
      <c r="D236" s="319"/>
      <c r="E236" s="319"/>
      <c r="F236" s="319"/>
      <c r="G236" s="342">
        <f>SUM(G233:G234)</f>
        <v>1439.815336</v>
      </c>
    </row>
    <row r="237" ht="15.75" hidden="1" thickBot="1"/>
    <row r="238" spans="1:7" ht="15.75" hidden="1">
      <c r="A238" s="676"/>
      <c r="B238" s="667" t="s">
        <v>316</v>
      </c>
      <c r="C238" s="667"/>
      <c r="D238" s="667"/>
      <c r="E238" s="667"/>
      <c r="F238" s="667"/>
      <c r="G238" s="306" t="s">
        <v>238</v>
      </c>
    </row>
    <row r="239" spans="1:7" ht="16.5" hidden="1" thickBot="1">
      <c r="A239" s="677"/>
      <c r="B239" s="308"/>
      <c r="C239" s="309"/>
      <c r="D239" s="309"/>
      <c r="E239" s="309"/>
      <c r="F239" s="309"/>
      <c r="G239" s="310"/>
    </row>
    <row r="240" spans="1:7" ht="16.5" hidden="1" thickBot="1">
      <c r="A240" s="296"/>
      <c r="B240" s="653" t="s">
        <v>212</v>
      </c>
      <c r="C240" s="653"/>
      <c r="D240" s="653"/>
      <c r="E240" s="653"/>
      <c r="F240" s="653"/>
      <c r="G240" s="654"/>
    </row>
    <row r="241" spans="1:7" ht="16.5" hidden="1" thickBot="1">
      <c r="A241" s="296"/>
      <c r="B241" s="311"/>
      <c r="C241" s="311"/>
      <c r="D241" s="312"/>
      <c r="E241" s="313" t="s">
        <v>213</v>
      </c>
      <c r="F241" s="313"/>
      <c r="G241" s="304"/>
    </row>
    <row r="242" spans="1:7" ht="16.5" hidden="1" thickBot="1">
      <c r="A242" s="296"/>
      <c r="B242" s="312" t="s">
        <v>93</v>
      </c>
      <c r="C242" s="315" t="s">
        <v>190</v>
      </c>
      <c r="D242" s="315" t="s">
        <v>95</v>
      </c>
      <c r="E242" s="315" t="s">
        <v>214</v>
      </c>
      <c r="F242" s="315" t="s">
        <v>96</v>
      </c>
      <c r="G242" s="316" t="s">
        <v>215</v>
      </c>
    </row>
    <row r="243" spans="1:7" ht="15.75" hidden="1">
      <c r="A243" s="317" t="s">
        <v>216</v>
      </c>
      <c r="B243" s="318" t="s">
        <v>98</v>
      </c>
      <c r="C243" s="319" t="s">
        <v>113</v>
      </c>
      <c r="D243" s="319"/>
      <c r="E243" s="319"/>
      <c r="F243" s="319"/>
      <c r="G243" s="320">
        <v>0</v>
      </c>
    </row>
    <row r="244" spans="1:7" ht="15.75" hidden="1">
      <c r="A244" s="401" t="s">
        <v>317</v>
      </c>
      <c r="B244" s="322" t="s">
        <v>218</v>
      </c>
      <c r="C244" s="319" t="s">
        <v>113</v>
      </c>
      <c r="D244" s="319"/>
      <c r="E244" s="319"/>
      <c r="F244" s="319"/>
      <c r="G244" s="320"/>
    </row>
    <row r="245" spans="1:7" ht="15.75" hidden="1">
      <c r="A245" s="323"/>
      <c r="B245" s="324" t="s">
        <v>100</v>
      </c>
      <c r="C245" s="325" t="s">
        <v>113</v>
      </c>
      <c r="D245" s="325"/>
      <c r="E245" s="325"/>
      <c r="F245" s="325"/>
      <c r="G245" s="326">
        <f>SUM(F246:F247)</f>
        <v>12.059999999999999</v>
      </c>
    </row>
    <row r="246" spans="1:7" ht="15.75" hidden="1">
      <c r="A246" s="330">
        <v>88264</v>
      </c>
      <c r="B246" s="324" t="s">
        <v>101</v>
      </c>
      <c r="C246" s="325" t="s">
        <v>220</v>
      </c>
      <c r="D246" s="329">
        <v>0.45</v>
      </c>
      <c r="E246" s="329">
        <v>15.03</v>
      </c>
      <c r="F246" s="329">
        <f>D246*E246</f>
        <v>6.7635</v>
      </c>
      <c r="G246" s="326"/>
    </row>
    <row r="247" spans="1:7" ht="15.75" hidden="1">
      <c r="A247" s="330">
        <v>88316</v>
      </c>
      <c r="B247" s="324" t="s">
        <v>103</v>
      </c>
      <c r="C247" s="325" t="s">
        <v>220</v>
      </c>
      <c r="D247" s="329">
        <v>0.45</v>
      </c>
      <c r="E247" s="329">
        <v>11.77</v>
      </c>
      <c r="F247" s="329">
        <f>D247*E247</f>
        <v>5.2965</v>
      </c>
      <c r="G247" s="326"/>
    </row>
    <row r="248" spans="1:7" ht="15.75" hidden="1">
      <c r="A248" s="323"/>
      <c r="B248" s="324" t="s">
        <v>104</v>
      </c>
      <c r="C248" s="325" t="s">
        <v>113</v>
      </c>
      <c r="D248" s="329"/>
      <c r="E248" s="329"/>
      <c r="F248" s="329"/>
      <c r="G248" s="332">
        <f>SUM(F249:F249)</f>
        <v>22.264</v>
      </c>
    </row>
    <row r="249" spans="1:7" ht="30.75" hidden="1">
      <c r="A249" s="402" t="s">
        <v>318</v>
      </c>
      <c r="B249" s="324" t="s">
        <v>319</v>
      </c>
      <c r="C249" s="325" t="s">
        <v>126</v>
      </c>
      <c r="D249" s="329">
        <v>1.1</v>
      </c>
      <c r="E249" s="329">
        <v>20.24</v>
      </c>
      <c r="F249" s="329">
        <f>D249*E249</f>
        <v>22.264</v>
      </c>
      <c r="G249" s="332"/>
    </row>
    <row r="250" spans="1:7" ht="15.75" hidden="1">
      <c r="A250" s="334"/>
      <c r="B250" s="335" t="s">
        <v>225</v>
      </c>
      <c r="C250" s="336" t="s">
        <v>113</v>
      </c>
      <c r="D250" s="337"/>
      <c r="E250" s="337"/>
      <c r="F250" s="337"/>
      <c r="G250" s="338">
        <f>SUM(G243:G249)</f>
        <v>34.324</v>
      </c>
    </row>
    <row r="251" spans="1:7" ht="15.75" hidden="1">
      <c r="A251" s="323"/>
      <c r="B251" s="324" t="s">
        <v>226</v>
      </c>
      <c r="C251" s="325" t="s">
        <v>113</v>
      </c>
      <c r="D251" s="329"/>
      <c r="E251" s="329"/>
      <c r="F251" s="329"/>
      <c r="G251" s="332">
        <f>G250*G10</f>
        <v>8.23776</v>
      </c>
    </row>
    <row r="252" spans="1:7" ht="15.75" hidden="1">
      <c r="A252" s="291"/>
      <c r="B252" s="339"/>
      <c r="C252" s="340"/>
      <c r="D252" s="340"/>
      <c r="E252" s="340"/>
      <c r="F252" s="340"/>
      <c r="G252" s="341"/>
    </row>
    <row r="253" spans="1:7" ht="15.75" hidden="1">
      <c r="A253" s="334"/>
      <c r="B253" s="318" t="s">
        <v>227</v>
      </c>
      <c r="C253" s="319" t="s">
        <v>113</v>
      </c>
      <c r="D253" s="319"/>
      <c r="E253" s="319"/>
      <c r="F253" s="319"/>
      <c r="G253" s="342">
        <f>SUM(G250:G251)</f>
        <v>42.56176</v>
      </c>
    </row>
    <row r="254" spans="1:7" ht="16.5" hidden="1" thickBot="1">
      <c r="A254" s="291"/>
      <c r="B254" s="339"/>
      <c r="C254" s="340"/>
      <c r="D254" s="340"/>
      <c r="E254" s="340"/>
      <c r="F254" s="340"/>
      <c r="G254" s="341"/>
    </row>
    <row r="255" spans="1:7" ht="15.75" hidden="1">
      <c r="A255" s="676"/>
      <c r="B255" s="667" t="s">
        <v>320</v>
      </c>
      <c r="C255" s="667"/>
      <c r="D255" s="667"/>
      <c r="E255" s="667"/>
      <c r="F255" s="667"/>
      <c r="G255" s="306" t="s">
        <v>321</v>
      </c>
    </row>
    <row r="256" spans="1:7" ht="16.5" hidden="1" thickBot="1">
      <c r="A256" s="677"/>
      <c r="B256" s="308"/>
      <c r="C256" s="309"/>
      <c r="D256" s="309"/>
      <c r="E256" s="309"/>
      <c r="F256" s="309"/>
      <c r="G256" s="310"/>
    </row>
    <row r="257" spans="1:7" ht="16.5" hidden="1" thickBot="1">
      <c r="A257" s="296"/>
      <c r="B257" s="653" t="s">
        <v>212</v>
      </c>
      <c r="C257" s="653"/>
      <c r="D257" s="653"/>
      <c r="E257" s="653"/>
      <c r="F257" s="653"/>
      <c r="G257" s="654"/>
    </row>
    <row r="258" spans="1:7" ht="16.5" hidden="1" thickBot="1">
      <c r="A258" s="296"/>
      <c r="B258" s="311"/>
      <c r="C258" s="311"/>
      <c r="D258" s="312"/>
      <c r="E258" s="313" t="s">
        <v>213</v>
      </c>
      <c r="F258" s="313"/>
      <c r="G258" s="304"/>
    </row>
    <row r="259" spans="1:7" ht="16.5" hidden="1" thickBot="1">
      <c r="A259" s="296"/>
      <c r="B259" s="312" t="s">
        <v>93</v>
      </c>
      <c r="C259" s="315" t="s">
        <v>190</v>
      </c>
      <c r="D259" s="315" t="s">
        <v>95</v>
      </c>
      <c r="E259" s="315" t="s">
        <v>214</v>
      </c>
      <c r="F259" s="315" t="s">
        <v>96</v>
      </c>
      <c r="G259" s="316" t="s">
        <v>215</v>
      </c>
    </row>
    <row r="260" spans="1:7" ht="15.75" hidden="1">
      <c r="A260" s="317" t="s">
        <v>216</v>
      </c>
      <c r="B260" s="318" t="s">
        <v>98</v>
      </c>
      <c r="C260" s="319" t="s">
        <v>113</v>
      </c>
      <c r="D260" s="319"/>
      <c r="E260" s="319"/>
      <c r="F260" s="319"/>
      <c r="G260" s="320">
        <v>0</v>
      </c>
    </row>
    <row r="261" spans="1:7" ht="15.75" hidden="1">
      <c r="A261" s="401" t="s">
        <v>317</v>
      </c>
      <c r="B261" s="322" t="s">
        <v>218</v>
      </c>
      <c r="C261" s="319" t="s">
        <v>113</v>
      </c>
      <c r="D261" s="319"/>
      <c r="E261" s="319"/>
      <c r="F261" s="319"/>
      <c r="G261" s="320"/>
    </row>
    <row r="262" spans="1:7" ht="15.75" hidden="1">
      <c r="A262" s="323"/>
      <c r="B262" s="324" t="s">
        <v>100</v>
      </c>
      <c r="C262" s="325" t="s">
        <v>113</v>
      </c>
      <c r="D262" s="325"/>
      <c r="E262" s="325"/>
      <c r="F262" s="325"/>
      <c r="G262" s="326">
        <f>SUM(F263:F264)</f>
        <v>114.35600000000001</v>
      </c>
    </row>
    <row r="263" spans="1:7" ht="15.75" hidden="1">
      <c r="A263" s="330">
        <v>88264</v>
      </c>
      <c r="B263" s="324" t="s">
        <v>101</v>
      </c>
      <c r="C263" s="325" t="s">
        <v>220</v>
      </c>
      <c r="D263" s="384">
        <v>4.4</v>
      </c>
      <c r="E263" s="329">
        <v>14.53</v>
      </c>
      <c r="F263" s="384">
        <f>D263*E263</f>
        <v>63.932</v>
      </c>
      <c r="G263" s="326"/>
    </row>
    <row r="264" spans="1:7" ht="15.75" hidden="1">
      <c r="A264" s="330">
        <v>88316</v>
      </c>
      <c r="B264" s="324" t="s">
        <v>103</v>
      </c>
      <c r="C264" s="325" t="s">
        <v>220</v>
      </c>
      <c r="D264" s="384">
        <v>4.4</v>
      </c>
      <c r="E264" s="329">
        <v>11.46</v>
      </c>
      <c r="F264" s="384">
        <f>D264*E264</f>
        <v>50.42400000000001</v>
      </c>
      <c r="G264" s="326"/>
    </row>
    <row r="265" spans="1:7" ht="15.75" hidden="1">
      <c r="A265" s="323"/>
      <c r="B265" s="324" t="s">
        <v>104</v>
      </c>
      <c r="C265" s="325" t="s">
        <v>113</v>
      </c>
      <c r="D265" s="384"/>
      <c r="E265" s="329"/>
      <c r="F265" s="384"/>
      <c r="G265" s="332">
        <f>SUM(F266:F274)</f>
        <v>151.015</v>
      </c>
    </row>
    <row r="266" spans="1:7" ht="15.75" hidden="1">
      <c r="A266" s="330">
        <v>39210</v>
      </c>
      <c r="B266" s="324" t="s">
        <v>322</v>
      </c>
      <c r="C266" s="383" t="s">
        <v>323</v>
      </c>
      <c r="D266" s="384">
        <v>3</v>
      </c>
      <c r="E266" s="384">
        <v>0.6</v>
      </c>
      <c r="F266" s="384">
        <f aca="true" t="shared" si="6" ref="F266:F274">D266*E266</f>
        <v>1.7999999999999998</v>
      </c>
      <c r="G266" s="332"/>
    </row>
    <row r="267" spans="1:7" ht="15.75" hidden="1">
      <c r="A267" s="330">
        <v>39176</v>
      </c>
      <c r="B267" s="324" t="s">
        <v>324</v>
      </c>
      <c r="C267" s="383" t="s">
        <v>323</v>
      </c>
      <c r="D267" s="384">
        <v>3</v>
      </c>
      <c r="E267" s="384">
        <v>0.81</v>
      </c>
      <c r="F267" s="384">
        <f t="shared" si="6"/>
        <v>2.43</v>
      </c>
      <c r="G267" s="332"/>
    </row>
    <row r="268" spans="1:7" ht="30.75" hidden="1">
      <c r="A268" s="330">
        <v>39680</v>
      </c>
      <c r="B268" s="324" t="s">
        <v>325</v>
      </c>
      <c r="C268" s="383" t="s">
        <v>323</v>
      </c>
      <c r="D268" s="384">
        <v>1</v>
      </c>
      <c r="E268" s="384">
        <v>81.46</v>
      </c>
      <c r="F268" s="384">
        <f t="shared" si="6"/>
        <v>81.46</v>
      </c>
      <c r="G268" s="332"/>
    </row>
    <row r="269" spans="1:7" ht="15.75" hidden="1">
      <c r="A269" s="330">
        <v>2488</v>
      </c>
      <c r="B269" s="324" t="s">
        <v>326</v>
      </c>
      <c r="C269" s="383" t="s">
        <v>323</v>
      </c>
      <c r="D269" s="384">
        <v>1</v>
      </c>
      <c r="E269" s="384">
        <v>1.41</v>
      </c>
      <c r="F269" s="384">
        <f t="shared" si="6"/>
        <v>1.41</v>
      </c>
      <c r="G269" s="332"/>
    </row>
    <row r="270" spans="1:7" ht="15.75" hidden="1">
      <c r="A270" s="330">
        <v>2673</v>
      </c>
      <c r="B270" s="324" t="s">
        <v>327</v>
      </c>
      <c r="C270" s="383" t="s">
        <v>106</v>
      </c>
      <c r="D270" s="384">
        <v>1.5</v>
      </c>
      <c r="E270" s="384">
        <v>1.63</v>
      </c>
      <c r="F270" s="384">
        <f t="shared" si="6"/>
        <v>2.445</v>
      </c>
      <c r="G270" s="332"/>
    </row>
    <row r="271" spans="1:7" ht="45.75" hidden="1">
      <c r="A271" s="330">
        <v>3376</v>
      </c>
      <c r="B271" s="324" t="s">
        <v>328</v>
      </c>
      <c r="C271" s="383" t="s">
        <v>323</v>
      </c>
      <c r="D271" s="384">
        <v>1</v>
      </c>
      <c r="E271" s="384">
        <v>35.33</v>
      </c>
      <c r="F271" s="384">
        <f t="shared" si="6"/>
        <v>35.33</v>
      </c>
      <c r="G271" s="332"/>
    </row>
    <row r="272" spans="1:7" ht="30.75" hidden="1">
      <c r="A272" s="330">
        <v>39174</v>
      </c>
      <c r="B272" s="324" t="s">
        <v>329</v>
      </c>
      <c r="C272" s="383" t="s">
        <v>323</v>
      </c>
      <c r="D272" s="384">
        <v>1</v>
      </c>
      <c r="E272" s="384">
        <v>0.61</v>
      </c>
      <c r="F272" s="384">
        <f t="shared" si="6"/>
        <v>0.61</v>
      </c>
      <c r="G272" s="332"/>
    </row>
    <row r="273" spans="1:7" ht="15.75" hidden="1">
      <c r="A273" s="331" t="s">
        <v>330</v>
      </c>
      <c r="B273" s="324" t="s">
        <v>331</v>
      </c>
      <c r="C273" s="383" t="s">
        <v>106</v>
      </c>
      <c r="D273" s="384">
        <v>2</v>
      </c>
      <c r="E273" s="384">
        <v>10.65</v>
      </c>
      <c r="F273" s="384">
        <f t="shared" si="6"/>
        <v>21.3</v>
      </c>
      <c r="G273" s="332"/>
    </row>
    <row r="274" spans="1:7" ht="60.75" hidden="1">
      <c r="A274" s="331" t="s">
        <v>332</v>
      </c>
      <c r="B274" s="324" t="s">
        <v>333</v>
      </c>
      <c r="C274" s="383" t="s">
        <v>106</v>
      </c>
      <c r="D274" s="384">
        <v>1</v>
      </c>
      <c r="E274" s="384">
        <v>4.23</v>
      </c>
      <c r="F274" s="384">
        <f t="shared" si="6"/>
        <v>4.23</v>
      </c>
      <c r="G274" s="332"/>
    </row>
    <row r="275" spans="1:7" ht="15.75" hidden="1">
      <c r="A275" s="334"/>
      <c r="B275" s="335" t="s">
        <v>225</v>
      </c>
      <c r="C275" s="336" t="s">
        <v>113</v>
      </c>
      <c r="D275" s="337"/>
      <c r="E275" s="337"/>
      <c r="F275" s="337"/>
      <c r="G275" s="338">
        <f>SUM(G260:G266)</f>
        <v>265.371</v>
      </c>
    </row>
    <row r="276" spans="1:7" ht="15.75" hidden="1">
      <c r="A276" s="323"/>
      <c r="B276" s="324" t="s">
        <v>226</v>
      </c>
      <c r="C276" s="325" t="s">
        <v>113</v>
      </c>
      <c r="D276" s="329"/>
      <c r="E276" s="329"/>
      <c r="F276" s="329"/>
      <c r="G276" s="332">
        <f>G275*G10</f>
        <v>63.68903999999999</v>
      </c>
    </row>
    <row r="277" spans="1:7" ht="15.75" hidden="1">
      <c r="A277" s="291"/>
      <c r="B277" s="339"/>
      <c r="C277" s="340"/>
      <c r="D277" s="340"/>
      <c r="E277" s="340"/>
      <c r="F277" s="340"/>
      <c r="G277" s="341"/>
    </row>
    <row r="278" spans="1:7" ht="15.75" hidden="1">
      <c r="A278" s="334"/>
      <c r="B278" s="318" t="s">
        <v>227</v>
      </c>
      <c r="C278" s="319" t="s">
        <v>113</v>
      </c>
      <c r="D278" s="319"/>
      <c r="E278" s="319"/>
      <c r="F278" s="319"/>
      <c r="G278" s="342">
        <f>SUM(G275:G276)</f>
        <v>329.06003999999996</v>
      </c>
    </row>
    <row r="279" ht="15.75" hidden="1" thickBot="1"/>
    <row r="280" spans="1:7" ht="15.75" hidden="1">
      <c r="A280" s="305"/>
      <c r="B280" s="667" t="s">
        <v>334</v>
      </c>
      <c r="C280" s="667"/>
      <c r="D280" s="667"/>
      <c r="E280" s="667"/>
      <c r="F280" s="667"/>
      <c r="G280" s="306" t="s">
        <v>238</v>
      </c>
    </row>
    <row r="281" spans="1:7" ht="16.5" hidden="1" thickBot="1">
      <c r="A281" s="307"/>
      <c r="B281" s="308"/>
      <c r="C281" s="309"/>
      <c r="D281" s="309"/>
      <c r="E281" s="309"/>
      <c r="F281" s="309"/>
      <c r="G281" s="310"/>
    </row>
    <row r="282" spans="1:7" ht="16.5" hidden="1" thickBot="1">
      <c r="A282" s="296"/>
      <c r="B282" s="653" t="s">
        <v>212</v>
      </c>
      <c r="C282" s="653"/>
      <c r="D282" s="653"/>
      <c r="E282" s="653"/>
      <c r="F282" s="653"/>
      <c r="G282" s="654"/>
    </row>
    <row r="283" spans="1:7" ht="16.5" hidden="1" thickBot="1">
      <c r="A283" s="296"/>
      <c r="B283" s="311"/>
      <c r="C283" s="311"/>
      <c r="D283" s="312"/>
      <c r="E283" s="313" t="s">
        <v>213</v>
      </c>
      <c r="F283" s="313"/>
      <c r="G283" s="304"/>
    </row>
    <row r="284" spans="1:7" ht="16.5" hidden="1" thickBot="1">
      <c r="A284" s="296"/>
      <c r="B284" s="312" t="s">
        <v>93</v>
      </c>
      <c r="C284" s="315" t="s">
        <v>190</v>
      </c>
      <c r="D284" s="315" t="s">
        <v>95</v>
      </c>
      <c r="E284" s="315" t="s">
        <v>214</v>
      </c>
      <c r="F284" s="315" t="s">
        <v>96</v>
      </c>
      <c r="G284" s="316" t="s">
        <v>215</v>
      </c>
    </row>
    <row r="285" spans="1:7" ht="15.75" hidden="1">
      <c r="A285" s="317" t="s">
        <v>216</v>
      </c>
      <c r="B285" s="318" t="s">
        <v>98</v>
      </c>
      <c r="C285" s="319" t="s">
        <v>113</v>
      </c>
      <c r="D285" s="319"/>
      <c r="E285" s="319"/>
      <c r="F285" s="319"/>
      <c r="G285" s="320">
        <v>0</v>
      </c>
    </row>
    <row r="286" spans="1:7" ht="45.75" hidden="1">
      <c r="A286" s="321" t="s">
        <v>217</v>
      </c>
      <c r="B286" s="322" t="s">
        <v>218</v>
      </c>
      <c r="C286" s="319" t="s">
        <v>113</v>
      </c>
      <c r="D286" s="319"/>
      <c r="E286" s="319"/>
      <c r="F286" s="319"/>
      <c r="G286" s="320"/>
    </row>
    <row r="287" spans="1:7" ht="15.75" hidden="1">
      <c r="A287" s="323"/>
      <c r="B287" s="324" t="s">
        <v>100</v>
      </c>
      <c r="C287" s="325" t="s">
        <v>113</v>
      </c>
      <c r="D287" s="325"/>
      <c r="E287" s="325"/>
      <c r="F287" s="325"/>
      <c r="G287" s="326">
        <f>SUM(F288:F288)</f>
        <v>4.5089999999999995</v>
      </c>
    </row>
    <row r="288" spans="1:7" ht="15.75" hidden="1">
      <c r="A288" s="330">
        <v>88264</v>
      </c>
      <c r="B288" s="324" t="s">
        <v>101</v>
      </c>
      <c r="C288" s="325" t="s">
        <v>220</v>
      </c>
      <c r="D288" s="329">
        <v>0.3</v>
      </c>
      <c r="E288" s="329">
        <v>15.03</v>
      </c>
      <c r="F288" s="329">
        <f>D288*E288</f>
        <v>4.5089999999999995</v>
      </c>
      <c r="G288" s="326"/>
    </row>
    <row r="289" spans="1:7" ht="15.75" hidden="1">
      <c r="A289" s="323"/>
      <c r="B289" s="324" t="s">
        <v>104</v>
      </c>
      <c r="C289" s="325" t="s">
        <v>113</v>
      </c>
      <c r="D289" s="329"/>
      <c r="E289" s="329"/>
      <c r="F289" s="329"/>
      <c r="G289" s="332">
        <f>F290</f>
        <v>17.92</v>
      </c>
    </row>
    <row r="290" spans="1:7" ht="15.75" hidden="1">
      <c r="A290" s="351">
        <v>2510</v>
      </c>
      <c r="B290" s="324" t="s">
        <v>335</v>
      </c>
      <c r="C290" s="325" t="s">
        <v>110</v>
      </c>
      <c r="D290" s="329">
        <v>1</v>
      </c>
      <c r="E290" s="329">
        <v>17.92</v>
      </c>
      <c r="F290" s="329">
        <f>D290*E290</f>
        <v>17.92</v>
      </c>
      <c r="G290" s="332"/>
    </row>
    <row r="291" spans="1:7" ht="15.75" hidden="1">
      <c r="A291" s="334"/>
      <c r="B291" s="335" t="s">
        <v>225</v>
      </c>
      <c r="C291" s="336" t="s">
        <v>113</v>
      </c>
      <c r="D291" s="337"/>
      <c r="E291" s="337"/>
      <c r="F291" s="337"/>
      <c r="G291" s="338">
        <f>SUM(G285:G290)</f>
        <v>22.429000000000002</v>
      </c>
    </row>
    <row r="292" spans="1:7" ht="15.75" hidden="1">
      <c r="A292" s="323"/>
      <c r="B292" s="324" t="s">
        <v>226</v>
      </c>
      <c r="C292" s="325" t="s">
        <v>113</v>
      </c>
      <c r="D292" s="329"/>
      <c r="E292" s="329"/>
      <c r="F292" s="329"/>
      <c r="G292" s="332">
        <f>G291*G10</f>
        <v>5.382960000000001</v>
      </c>
    </row>
    <row r="293" spans="1:7" ht="15.75" hidden="1">
      <c r="A293" s="291"/>
      <c r="B293" s="339"/>
      <c r="C293" s="340"/>
      <c r="D293" s="340"/>
      <c r="E293" s="340"/>
      <c r="F293" s="340"/>
      <c r="G293" s="341"/>
    </row>
    <row r="294" spans="1:7" ht="15.75" hidden="1">
      <c r="A294" s="334"/>
      <c r="B294" s="318" t="s">
        <v>227</v>
      </c>
      <c r="C294" s="319" t="s">
        <v>113</v>
      </c>
      <c r="D294" s="319"/>
      <c r="E294" s="319"/>
      <c r="F294" s="319"/>
      <c r="G294" s="342">
        <f>SUM(G291:G292)</f>
        <v>27.811960000000003</v>
      </c>
    </row>
    <row r="295" ht="15.75" hidden="1" thickBot="1"/>
    <row r="296" spans="1:7" ht="15.75" hidden="1">
      <c r="A296" s="346"/>
      <c r="B296" s="667" t="s">
        <v>336</v>
      </c>
      <c r="C296" s="667"/>
      <c r="D296" s="667"/>
      <c r="E296" s="667"/>
      <c r="F296" s="667"/>
      <c r="G296" s="306" t="s">
        <v>238</v>
      </c>
    </row>
    <row r="297" spans="1:7" ht="16.5" hidden="1" thickBot="1">
      <c r="A297" s="348"/>
      <c r="B297" s="308"/>
      <c r="C297" s="309"/>
      <c r="D297" s="309"/>
      <c r="E297" s="309"/>
      <c r="F297" s="309"/>
      <c r="G297" s="310"/>
    </row>
    <row r="298" spans="1:7" ht="16.5" hidden="1" thickBot="1">
      <c r="A298" s="296"/>
      <c r="B298" s="653" t="s">
        <v>212</v>
      </c>
      <c r="C298" s="653"/>
      <c r="D298" s="653"/>
      <c r="E298" s="653"/>
      <c r="F298" s="653"/>
      <c r="G298" s="654"/>
    </row>
    <row r="299" spans="1:7" ht="16.5" hidden="1" thickBot="1">
      <c r="A299" s="296"/>
      <c r="B299" s="311"/>
      <c r="C299" s="311"/>
      <c r="D299" s="312"/>
      <c r="E299" s="313" t="s">
        <v>213</v>
      </c>
      <c r="F299" s="313"/>
      <c r="G299" s="304"/>
    </row>
    <row r="300" spans="1:7" ht="16.5" hidden="1" thickBot="1">
      <c r="A300" s="296"/>
      <c r="B300" s="312" t="s">
        <v>93</v>
      </c>
      <c r="C300" s="315" t="s">
        <v>190</v>
      </c>
      <c r="D300" s="315" t="s">
        <v>95</v>
      </c>
      <c r="E300" s="315" t="s">
        <v>214</v>
      </c>
      <c r="F300" s="315" t="s">
        <v>96</v>
      </c>
      <c r="G300" s="316" t="s">
        <v>215</v>
      </c>
    </row>
    <row r="301" spans="1:7" ht="15.75" hidden="1">
      <c r="A301" s="317" t="s">
        <v>216</v>
      </c>
      <c r="B301" s="318" t="s">
        <v>98</v>
      </c>
      <c r="C301" s="319" t="s">
        <v>113</v>
      </c>
      <c r="D301" s="319"/>
      <c r="E301" s="319"/>
      <c r="F301" s="319"/>
      <c r="G301" s="320">
        <v>0</v>
      </c>
    </row>
    <row r="302" spans="1:7" ht="45.75" hidden="1">
      <c r="A302" s="321" t="s">
        <v>217</v>
      </c>
      <c r="B302" s="322" t="s">
        <v>218</v>
      </c>
      <c r="C302" s="319" t="s">
        <v>113</v>
      </c>
      <c r="D302" s="319"/>
      <c r="E302" s="319"/>
      <c r="F302" s="319"/>
      <c r="G302" s="320"/>
    </row>
    <row r="303" spans="1:7" ht="15.75" hidden="1">
      <c r="A303" s="323"/>
      <c r="B303" s="324" t="s">
        <v>100</v>
      </c>
      <c r="C303" s="325" t="s">
        <v>113</v>
      </c>
      <c r="D303" s="325"/>
      <c r="E303" s="325"/>
      <c r="F303" s="325"/>
      <c r="G303" s="326">
        <f>SUM(F304:F305)</f>
        <v>10.72</v>
      </c>
    </row>
    <row r="304" spans="1:7" ht="15.75" hidden="1">
      <c r="A304" s="330">
        <v>88264</v>
      </c>
      <c r="B304" s="324" t="s">
        <v>101</v>
      </c>
      <c r="C304" s="325" t="s">
        <v>220</v>
      </c>
      <c r="D304" s="329">
        <v>0.4</v>
      </c>
      <c r="E304" s="329">
        <v>15.03</v>
      </c>
      <c r="F304" s="329">
        <f>D304*E304</f>
        <v>6.0120000000000005</v>
      </c>
      <c r="G304" s="326"/>
    </row>
    <row r="305" spans="1:7" ht="30.75" hidden="1">
      <c r="A305" s="330">
        <v>88316</v>
      </c>
      <c r="B305" s="324" t="s">
        <v>283</v>
      </c>
      <c r="C305" s="325" t="s">
        <v>220</v>
      </c>
      <c r="D305" s="329">
        <v>0.4</v>
      </c>
      <c r="E305" s="329">
        <v>11.77</v>
      </c>
      <c r="F305" s="329">
        <f>D305*E305</f>
        <v>4.708</v>
      </c>
      <c r="G305" s="326"/>
    </row>
    <row r="306" spans="1:7" ht="15.75" hidden="1">
      <c r="A306" s="323"/>
      <c r="B306" s="324" t="s">
        <v>104</v>
      </c>
      <c r="C306" s="325" t="s">
        <v>113</v>
      </c>
      <c r="D306" s="329"/>
      <c r="E306" s="329"/>
      <c r="F306" s="329"/>
      <c r="G306" s="332">
        <f>F307</f>
        <v>189</v>
      </c>
    </row>
    <row r="307" spans="1:7" ht="15.75" hidden="1">
      <c r="A307" s="351" t="s">
        <v>337</v>
      </c>
      <c r="B307" s="324" t="s">
        <v>338</v>
      </c>
      <c r="C307" s="325" t="s">
        <v>110</v>
      </c>
      <c r="D307" s="329">
        <v>1</v>
      </c>
      <c r="E307" s="329">
        <v>189</v>
      </c>
      <c r="F307" s="329">
        <f>D307*E307</f>
        <v>189</v>
      </c>
      <c r="G307" s="332"/>
    </row>
    <row r="308" spans="1:7" ht="15.75" hidden="1">
      <c r="A308" s="334"/>
      <c r="B308" s="335" t="s">
        <v>225</v>
      </c>
      <c r="C308" s="336" t="s">
        <v>113</v>
      </c>
      <c r="D308" s="337"/>
      <c r="E308" s="337"/>
      <c r="F308" s="337"/>
      <c r="G308" s="338">
        <f>SUM(G301:G307)</f>
        <v>199.72</v>
      </c>
    </row>
    <row r="309" spans="1:7" ht="15.75" hidden="1">
      <c r="A309" s="323"/>
      <c r="B309" s="324" t="s">
        <v>226</v>
      </c>
      <c r="C309" s="325" t="s">
        <v>113</v>
      </c>
      <c r="D309" s="329"/>
      <c r="E309" s="329"/>
      <c r="F309" s="329"/>
      <c r="G309" s="332">
        <f>G308*G10</f>
        <v>47.9328</v>
      </c>
    </row>
    <row r="310" spans="1:7" ht="15.75" hidden="1">
      <c r="A310" s="291"/>
      <c r="B310" s="339"/>
      <c r="C310" s="340"/>
      <c r="D310" s="340"/>
      <c r="E310" s="340"/>
      <c r="F310" s="340"/>
      <c r="G310" s="341"/>
    </row>
    <row r="311" spans="1:7" ht="15.75" hidden="1">
      <c r="A311" s="334"/>
      <c r="B311" s="318" t="s">
        <v>227</v>
      </c>
      <c r="C311" s="319" t="s">
        <v>113</v>
      </c>
      <c r="D311" s="319"/>
      <c r="E311" s="319"/>
      <c r="F311" s="319"/>
      <c r="G311" s="342">
        <f>SUM(G308:G309)</f>
        <v>247.6528</v>
      </c>
    </row>
    <row r="312" ht="15.75" hidden="1" thickBot="1"/>
    <row r="313" spans="1:7" ht="48" customHeight="1">
      <c r="A313" s="305"/>
      <c r="B313" s="667" t="s">
        <v>567</v>
      </c>
      <c r="C313" s="667"/>
      <c r="D313" s="667"/>
      <c r="E313" s="667"/>
      <c r="F313" s="667"/>
      <c r="G313" s="306" t="s">
        <v>238</v>
      </c>
    </row>
    <row r="314" spans="1:7" ht="16.5" thickBot="1">
      <c r="A314" s="307"/>
      <c r="B314" s="308"/>
      <c r="C314" s="309"/>
      <c r="D314" s="309"/>
      <c r="E314" s="309"/>
      <c r="F314" s="309"/>
      <c r="G314" s="310"/>
    </row>
    <row r="315" spans="1:7" ht="16.5" thickBot="1">
      <c r="A315" s="296"/>
      <c r="B315" s="653" t="s">
        <v>212</v>
      </c>
      <c r="C315" s="653"/>
      <c r="D315" s="653"/>
      <c r="E315" s="653"/>
      <c r="F315" s="653"/>
      <c r="G315" s="654"/>
    </row>
    <row r="316" spans="1:7" ht="16.5" thickBot="1">
      <c r="A316" s="296"/>
      <c r="B316" s="311"/>
      <c r="C316" s="311"/>
      <c r="D316" s="312"/>
      <c r="E316" s="313" t="s">
        <v>213</v>
      </c>
      <c r="F316" s="313"/>
      <c r="G316" s="304"/>
    </row>
    <row r="317" spans="1:7" ht="16.5" thickBot="1">
      <c r="A317" s="296"/>
      <c r="B317" s="312" t="s">
        <v>93</v>
      </c>
      <c r="C317" s="315" t="s">
        <v>190</v>
      </c>
      <c r="D317" s="315" t="s">
        <v>95</v>
      </c>
      <c r="E317" s="315" t="s">
        <v>214</v>
      </c>
      <c r="F317" s="315" t="s">
        <v>96</v>
      </c>
      <c r="G317" s="316" t="s">
        <v>215</v>
      </c>
    </row>
    <row r="318" spans="1:7" ht="15.75">
      <c r="A318" s="317" t="s">
        <v>216</v>
      </c>
      <c r="B318" s="318" t="s">
        <v>98</v>
      </c>
      <c r="C318" s="319" t="s">
        <v>113</v>
      </c>
      <c r="D318" s="319"/>
      <c r="E318" s="319"/>
      <c r="F318" s="319"/>
      <c r="G318" s="320">
        <v>0</v>
      </c>
    </row>
    <row r="319" spans="1:7" ht="45.75">
      <c r="A319" s="321" t="s">
        <v>568</v>
      </c>
      <c r="B319" s="322" t="s">
        <v>218</v>
      </c>
      <c r="C319" s="319" t="s">
        <v>113</v>
      </c>
      <c r="D319" s="319"/>
      <c r="E319" s="319"/>
      <c r="F319" s="319"/>
      <c r="G319" s="320"/>
    </row>
    <row r="320" spans="1:7" ht="15.75">
      <c r="A320" s="323"/>
      <c r="B320" s="324" t="s">
        <v>100</v>
      </c>
      <c r="C320" s="325" t="s">
        <v>113</v>
      </c>
      <c r="D320" s="325"/>
      <c r="E320" s="325"/>
      <c r="F320" s="325"/>
      <c r="G320" s="326">
        <f>SUM(F321:F322)</f>
        <v>11.224</v>
      </c>
    </row>
    <row r="321" spans="1:7" ht="15.75">
      <c r="A321" s="330">
        <v>88264</v>
      </c>
      <c r="B321" s="324" t="s">
        <v>101</v>
      </c>
      <c r="C321" s="325" t="s">
        <v>220</v>
      </c>
      <c r="D321" s="329">
        <v>0.4</v>
      </c>
      <c r="E321" s="329">
        <v>15.71</v>
      </c>
      <c r="F321" s="329">
        <f>D321*E321</f>
        <v>6.284000000000001</v>
      </c>
      <c r="G321" s="326"/>
    </row>
    <row r="322" spans="1:7" ht="30.75">
      <c r="A322" s="330">
        <v>88316</v>
      </c>
      <c r="B322" s="324" t="s">
        <v>283</v>
      </c>
      <c r="C322" s="325" t="s">
        <v>220</v>
      </c>
      <c r="D322" s="329">
        <v>0.4</v>
      </c>
      <c r="E322" s="329">
        <v>12.35</v>
      </c>
      <c r="F322" s="329">
        <f>D322*E322</f>
        <v>4.94</v>
      </c>
      <c r="G322" s="326"/>
    </row>
    <row r="323" spans="1:7" ht="15.75">
      <c r="A323" s="323"/>
      <c r="B323" s="324" t="s">
        <v>104</v>
      </c>
      <c r="C323" s="325" t="s">
        <v>113</v>
      </c>
      <c r="D323" s="329"/>
      <c r="E323" s="329"/>
      <c r="F323" s="329"/>
      <c r="G323" s="332">
        <f>F324</f>
        <v>826.31</v>
      </c>
    </row>
    <row r="324" spans="1:7" ht="60.75">
      <c r="A324" s="351">
        <v>42977</v>
      </c>
      <c r="B324" s="324" t="s">
        <v>532</v>
      </c>
      <c r="C324" s="325" t="s">
        <v>110</v>
      </c>
      <c r="D324" s="329">
        <v>1</v>
      </c>
      <c r="E324" s="329">
        <v>826.31</v>
      </c>
      <c r="F324" s="329">
        <f>D324*E324</f>
        <v>826.31</v>
      </c>
      <c r="G324" s="332"/>
    </row>
    <row r="325" spans="1:7" ht="15.75">
      <c r="A325" s="334"/>
      <c r="B325" s="335" t="s">
        <v>225</v>
      </c>
      <c r="C325" s="336" t="s">
        <v>113</v>
      </c>
      <c r="D325" s="337"/>
      <c r="E325" s="337"/>
      <c r="F325" s="337"/>
      <c r="G325" s="338">
        <f>SUM(G318:G324)</f>
        <v>837.534</v>
      </c>
    </row>
    <row r="326" spans="1:7" ht="15.75">
      <c r="A326" s="323"/>
      <c r="B326" s="324" t="s">
        <v>226</v>
      </c>
      <c r="C326" s="325" t="s">
        <v>113</v>
      </c>
      <c r="D326" s="329"/>
      <c r="E326" s="329"/>
      <c r="F326" s="329"/>
      <c r="G326" s="332">
        <f>G325*G10</f>
        <v>201.00816</v>
      </c>
    </row>
    <row r="327" spans="1:7" ht="15.75">
      <c r="A327" s="291"/>
      <c r="B327" s="339"/>
      <c r="C327" s="340"/>
      <c r="D327" s="340"/>
      <c r="E327" s="340"/>
      <c r="F327" s="340"/>
      <c r="G327" s="341"/>
    </row>
    <row r="328" spans="1:7" ht="15.75">
      <c r="A328" s="334"/>
      <c r="B328" s="318" t="s">
        <v>227</v>
      </c>
      <c r="C328" s="319" t="s">
        <v>113</v>
      </c>
      <c r="D328" s="319"/>
      <c r="E328" s="319"/>
      <c r="F328" s="319"/>
      <c r="G328" s="342">
        <f>SUM(G325:G326)</f>
        <v>1038.54216</v>
      </c>
    </row>
    <row r="330" spans="1:7" ht="15.75" hidden="1">
      <c r="A330" s="346"/>
      <c r="B330" s="671" t="s">
        <v>339</v>
      </c>
      <c r="C330" s="671"/>
      <c r="D330" s="671"/>
      <c r="E330" s="671"/>
      <c r="F330" s="671"/>
      <c r="G330" s="369" t="s">
        <v>238</v>
      </c>
    </row>
    <row r="331" spans="1:7" ht="16.5" hidden="1" thickBot="1">
      <c r="A331" s="348"/>
      <c r="B331" s="308"/>
      <c r="C331" s="309"/>
      <c r="D331" s="309"/>
      <c r="E331" s="309"/>
      <c r="F331" s="309"/>
      <c r="G331" s="370"/>
    </row>
    <row r="332" spans="1:7" ht="16.5" hidden="1" thickBot="1">
      <c r="A332" s="296"/>
      <c r="B332" s="653" t="s">
        <v>212</v>
      </c>
      <c r="C332" s="653"/>
      <c r="D332" s="653"/>
      <c r="E332" s="653"/>
      <c r="F332" s="653"/>
      <c r="G332" s="653"/>
    </row>
    <row r="333" spans="1:7" ht="16.5" hidden="1" thickBot="1">
      <c r="A333" s="296"/>
      <c r="B333" s="311"/>
      <c r="C333" s="311"/>
      <c r="D333" s="312"/>
      <c r="E333" s="313" t="s">
        <v>213</v>
      </c>
      <c r="F333" s="313"/>
      <c r="G333" s="303"/>
    </row>
    <row r="334" spans="1:7" ht="16.5" hidden="1" thickBot="1">
      <c r="A334" s="296"/>
      <c r="B334" s="312" t="s">
        <v>93</v>
      </c>
      <c r="C334" s="315" t="s">
        <v>190</v>
      </c>
      <c r="D334" s="315" t="s">
        <v>95</v>
      </c>
      <c r="E334" s="315" t="s">
        <v>214</v>
      </c>
      <c r="F334" s="315" t="s">
        <v>96</v>
      </c>
      <c r="G334" s="372" t="s">
        <v>215</v>
      </c>
    </row>
    <row r="335" spans="1:7" ht="15.75" hidden="1">
      <c r="A335" s="317" t="s">
        <v>216</v>
      </c>
      <c r="B335" s="318" t="s">
        <v>98</v>
      </c>
      <c r="C335" s="319" t="s">
        <v>113</v>
      </c>
      <c r="D335" s="319"/>
      <c r="E335" s="319"/>
      <c r="F335" s="319"/>
      <c r="G335" s="378">
        <v>0</v>
      </c>
    </row>
    <row r="336" spans="1:7" ht="45.75" hidden="1">
      <c r="A336" s="321" t="s">
        <v>217</v>
      </c>
      <c r="B336" s="322" t="s">
        <v>218</v>
      </c>
      <c r="C336" s="319" t="s">
        <v>113</v>
      </c>
      <c r="D336" s="319"/>
      <c r="E336" s="319"/>
      <c r="F336" s="319"/>
      <c r="G336" s="378"/>
    </row>
    <row r="337" spans="1:7" ht="15.75" hidden="1">
      <c r="A337" s="323"/>
      <c r="B337" s="324" t="s">
        <v>100</v>
      </c>
      <c r="C337" s="325" t="s">
        <v>113</v>
      </c>
      <c r="D337" s="325"/>
      <c r="E337" s="325"/>
      <c r="F337" s="325"/>
      <c r="G337" s="380">
        <f>SUM(F338:F339)</f>
        <v>16.6141</v>
      </c>
    </row>
    <row r="338" spans="1:7" ht="30.75" hidden="1">
      <c r="A338" s="330">
        <v>88441</v>
      </c>
      <c r="B338" s="324" t="s">
        <v>294</v>
      </c>
      <c r="C338" s="325" t="s">
        <v>220</v>
      </c>
      <c r="D338" s="329">
        <v>0.23</v>
      </c>
      <c r="E338" s="329">
        <v>11.85</v>
      </c>
      <c r="F338" s="329">
        <f>D338*E338</f>
        <v>2.7255000000000003</v>
      </c>
      <c r="G338" s="380"/>
    </row>
    <row r="339" spans="1:7" ht="30.75" hidden="1">
      <c r="A339" s="330">
        <v>88316</v>
      </c>
      <c r="B339" s="324" t="s">
        <v>283</v>
      </c>
      <c r="C339" s="325" t="s">
        <v>220</v>
      </c>
      <c r="D339" s="329">
        <v>1.18</v>
      </c>
      <c r="E339" s="329">
        <v>11.77</v>
      </c>
      <c r="F339" s="329">
        <f>D339*E339</f>
        <v>13.888599999999999</v>
      </c>
      <c r="G339" s="380"/>
    </row>
    <row r="340" spans="1:7" ht="15.75" hidden="1">
      <c r="A340" s="323"/>
      <c r="B340" s="324" t="s">
        <v>104</v>
      </c>
      <c r="C340" s="325" t="s">
        <v>113</v>
      </c>
      <c r="D340" s="329"/>
      <c r="E340" s="329"/>
      <c r="F340" s="329"/>
      <c r="G340" s="382">
        <f>SUM(F341:F346)</f>
        <v>2839.72255</v>
      </c>
    </row>
    <row r="341" spans="1:7" ht="15.75" hidden="1">
      <c r="A341" s="351" t="s">
        <v>285</v>
      </c>
      <c r="B341" s="324" t="s">
        <v>340</v>
      </c>
      <c r="C341" s="383" t="s">
        <v>190</v>
      </c>
      <c r="D341" s="384">
        <v>1</v>
      </c>
      <c r="E341" s="384">
        <v>2800</v>
      </c>
      <c r="F341" s="384">
        <f aca="true" t="shared" si="7" ref="F341:F346">D341*E341</f>
        <v>2800</v>
      </c>
      <c r="G341" s="382"/>
    </row>
    <row r="342" spans="1:7" ht="30.75" hidden="1">
      <c r="A342" s="351">
        <v>370</v>
      </c>
      <c r="B342" s="324" t="s">
        <v>296</v>
      </c>
      <c r="C342" s="383" t="s">
        <v>131</v>
      </c>
      <c r="D342" s="384">
        <v>0.0064</v>
      </c>
      <c r="E342" s="384">
        <v>60</v>
      </c>
      <c r="F342" s="384">
        <f t="shared" si="7"/>
        <v>0.384</v>
      </c>
      <c r="G342" s="382"/>
    </row>
    <row r="343" spans="1:7" ht="15.75" hidden="1">
      <c r="A343" s="351">
        <v>7253</v>
      </c>
      <c r="B343" s="324" t="s">
        <v>297</v>
      </c>
      <c r="C343" s="389" t="s">
        <v>131</v>
      </c>
      <c r="D343" s="384">
        <v>0.205</v>
      </c>
      <c r="E343" s="384">
        <v>85.71</v>
      </c>
      <c r="F343" s="384">
        <f t="shared" si="7"/>
        <v>17.570549999999997</v>
      </c>
      <c r="G343" s="382"/>
    </row>
    <row r="344" spans="1:7" ht="15.75" hidden="1">
      <c r="A344" s="351">
        <v>25951</v>
      </c>
      <c r="B344" s="324" t="s">
        <v>298</v>
      </c>
      <c r="C344" s="389" t="s">
        <v>126</v>
      </c>
      <c r="D344" s="384">
        <v>0.8</v>
      </c>
      <c r="E344" s="384">
        <v>1.64</v>
      </c>
      <c r="F344" s="384">
        <f t="shared" si="7"/>
        <v>1.312</v>
      </c>
      <c r="G344" s="382"/>
    </row>
    <row r="345" spans="1:7" ht="30.75" hidden="1">
      <c r="A345" s="351">
        <v>25963</v>
      </c>
      <c r="B345" s="324" t="s">
        <v>299</v>
      </c>
      <c r="C345" s="389" t="s">
        <v>126</v>
      </c>
      <c r="D345" s="384">
        <v>0.8</v>
      </c>
      <c r="E345" s="384">
        <v>0.07</v>
      </c>
      <c r="F345" s="384">
        <f t="shared" si="7"/>
        <v>0.05600000000000001</v>
      </c>
      <c r="G345" s="382"/>
    </row>
    <row r="346" spans="1:7" ht="30.75" hidden="1">
      <c r="A346" s="351">
        <v>38125</v>
      </c>
      <c r="B346" s="324" t="s">
        <v>300</v>
      </c>
      <c r="C346" s="389" t="s">
        <v>126</v>
      </c>
      <c r="D346" s="384">
        <v>30</v>
      </c>
      <c r="E346" s="384">
        <v>0.68</v>
      </c>
      <c r="F346" s="384">
        <f t="shared" si="7"/>
        <v>20.400000000000002</v>
      </c>
      <c r="G346" s="382"/>
    </row>
    <row r="347" spans="1:7" ht="15.75" hidden="1">
      <c r="A347" s="334"/>
      <c r="B347" s="335" t="s">
        <v>225</v>
      </c>
      <c r="C347" s="336" t="s">
        <v>113</v>
      </c>
      <c r="D347" s="337"/>
      <c r="E347" s="337"/>
      <c r="F347" s="337"/>
      <c r="G347" s="390">
        <f>SUM(G335:G341)</f>
        <v>2856.3366499999997</v>
      </c>
    </row>
    <row r="348" spans="1:7" ht="15.75" hidden="1">
      <c r="A348" s="323"/>
      <c r="B348" s="324" t="s">
        <v>226</v>
      </c>
      <c r="C348" s="325" t="s">
        <v>113</v>
      </c>
      <c r="D348" s="329"/>
      <c r="E348" s="329"/>
      <c r="F348" s="329"/>
      <c r="G348" s="382">
        <f>G347*G10</f>
        <v>685.5207959999999</v>
      </c>
    </row>
    <row r="349" spans="1:7" ht="15.75" hidden="1">
      <c r="A349" s="291"/>
      <c r="B349" s="339"/>
      <c r="C349" s="340"/>
      <c r="D349" s="340"/>
      <c r="E349" s="340"/>
      <c r="F349" s="340"/>
      <c r="G349" s="395"/>
    </row>
    <row r="350" spans="1:7" ht="15.75" hidden="1">
      <c r="A350" s="334"/>
      <c r="B350" s="318" t="s">
        <v>227</v>
      </c>
      <c r="C350" s="319" t="s">
        <v>113</v>
      </c>
      <c r="D350" s="319"/>
      <c r="E350" s="319"/>
      <c r="F350" s="319"/>
      <c r="G350" s="398">
        <f>SUM(G347:G348)</f>
        <v>3541.8574459999995</v>
      </c>
    </row>
    <row r="351" ht="12.75" hidden="1"/>
    <row r="352" spans="1:7" ht="52.5" customHeight="1" hidden="1" thickBot="1">
      <c r="A352" s="357"/>
      <c r="B352" s="669" t="s">
        <v>341</v>
      </c>
      <c r="C352" s="669"/>
      <c r="D352" s="669"/>
      <c r="E352" s="669"/>
      <c r="F352" s="669"/>
      <c r="G352" s="358" t="s">
        <v>238</v>
      </c>
    </row>
    <row r="353" spans="1:7" ht="16.5" hidden="1" thickBot="1">
      <c r="A353" s="296"/>
      <c r="B353" s="653" t="s">
        <v>212</v>
      </c>
      <c r="C353" s="653"/>
      <c r="D353" s="653"/>
      <c r="E353" s="653"/>
      <c r="F353" s="653"/>
      <c r="G353" s="654"/>
    </row>
    <row r="354" spans="1:9" ht="16.5" hidden="1" thickBot="1">
      <c r="A354" s="296"/>
      <c r="B354" s="311"/>
      <c r="C354" s="311"/>
      <c r="D354" s="312"/>
      <c r="E354" s="313" t="s">
        <v>213</v>
      </c>
      <c r="F354" s="313"/>
      <c r="G354" s="304"/>
      <c r="I354" s="403" t="s">
        <v>342</v>
      </c>
    </row>
    <row r="355" spans="1:7" ht="16.5" hidden="1" thickBot="1">
      <c r="A355" s="296"/>
      <c r="B355" s="312" t="s">
        <v>93</v>
      </c>
      <c r="C355" s="315" t="s">
        <v>190</v>
      </c>
      <c r="D355" s="315" t="s">
        <v>95</v>
      </c>
      <c r="E355" s="315" t="s">
        <v>214</v>
      </c>
      <c r="F355" s="315" t="s">
        <v>96</v>
      </c>
      <c r="G355" s="316" t="s">
        <v>215</v>
      </c>
    </row>
    <row r="356" spans="1:7" ht="15.75" hidden="1">
      <c r="A356" s="317" t="s">
        <v>216</v>
      </c>
      <c r="B356" s="318" t="s">
        <v>98</v>
      </c>
      <c r="C356" s="319" t="s">
        <v>113</v>
      </c>
      <c r="D356" s="319"/>
      <c r="E356" s="319"/>
      <c r="F356" s="319"/>
      <c r="G356" s="320">
        <v>0</v>
      </c>
    </row>
    <row r="357" spans="1:7" ht="45.75" hidden="1">
      <c r="A357" s="321" t="s">
        <v>251</v>
      </c>
      <c r="B357" s="322" t="s">
        <v>218</v>
      </c>
      <c r="C357" s="319" t="s">
        <v>113</v>
      </c>
      <c r="D357" s="319"/>
      <c r="E357" s="319"/>
      <c r="F357" s="319"/>
      <c r="G357" s="320"/>
    </row>
    <row r="358" spans="1:7" ht="15.75" hidden="1">
      <c r="A358" s="323"/>
      <c r="B358" s="324" t="s">
        <v>100</v>
      </c>
      <c r="C358" s="325" t="s">
        <v>113</v>
      </c>
      <c r="D358" s="325"/>
      <c r="E358" s="325"/>
      <c r="F358" s="325"/>
      <c r="G358" s="326">
        <f>SUM(F359:F360)</f>
        <v>26.65</v>
      </c>
    </row>
    <row r="359" spans="1:7" ht="15.75" hidden="1">
      <c r="A359" s="330">
        <v>88309</v>
      </c>
      <c r="B359" s="324" t="s">
        <v>124</v>
      </c>
      <c r="C359" s="325" t="s">
        <v>220</v>
      </c>
      <c r="D359" s="329">
        <v>1</v>
      </c>
      <c r="E359" s="329">
        <v>14.88</v>
      </c>
      <c r="F359" s="329">
        <f>D359*E359</f>
        <v>14.88</v>
      </c>
      <c r="G359" s="326"/>
    </row>
    <row r="360" spans="1:7" ht="15.75" hidden="1">
      <c r="A360" s="330">
        <v>88316</v>
      </c>
      <c r="B360" s="324" t="s">
        <v>103</v>
      </c>
      <c r="C360" s="325" t="s">
        <v>220</v>
      </c>
      <c r="D360" s="329">
        <v>1</v>
      </c>
      <c r="E360" s="329">
        <v>11.77</v>
      </c>
      <c r="F360" s="329">
        <f>D360*E360</f>
        <v>11.77</v>
      </c>
      <c r="G360" s="326"/>
    </row>
    <row r="361" spans="1:7" ht="15.75" hidden="1">
      <c r="A361" s="323"/>
      <c r="B361" s="324" t="s">
        <v>104</v>
      </c>
      <c r="C361" s="325" t="s">
        <v>113</v>
      </c>
      <c r="D361" s="329"/>
      <c r="E361" s="329"/>
      <c r="F361" s="329"/>
      <c r="G361" s="326">
        <f>SUM(F362:F366)</f>
        <v>457.1374</v>
      </c>
    </row>
    <row r="362" spans="1:7" ht="60.75" hidden="1">
      <c r="A362" s="349" t="s">
        <v>343</v>
      </c>
      <c r="B362" s="324" t="s">
        <v>344</v>
      </c>
      <c r="C362" s="325" t="s">
        <v>314</v>
      </c>
      <c r="D362" s="329">
        <v>1</v>
      </c>
      <c r="E362" s="329">
        <v>270</v>
      </c>
      <c r="F362" s="329">
        <f>D362*E362</f>
        <v>270</v>
      </c>
      <c r="G362" s="326"/>
    </row>
    <row r="363" spans="1:7" ht="30.75" hidden="1">
      <c r="A363" s="350" t="s">
        <v>345</v>
      </c>
      <c r="B363" s="324" t="s">
        <v>346</v>
      </c>
      <c r="C363" s="325" t="s">
        <v>137</v>
      </c>
      <c r="D363" s="329">
        <v>5.06</v>
      </c>
      <c r="E363" s="329">
        <v>10.9</v>
      </c>
      <c r="F363" s="329">
        <f>D363*E363</f>
        <v>55.153999999999996</v>
      </c>
      <c r="G363" s="332"/>
    </row>
    <row r="364" spans="1:7" ht="15.75" hidden="1">
      <c r="A364" s="349" t="s">
        <v>230</v>
      </c>
      <c r="B364" s="359" t="s">
        <v>347</v>
      </c>
      <c r="C364" s="325" t="s">
        <v>131</v>
      </c>
      <c r="D364" s="329">
        <v>0.5</v>
      </c>
      <c r="E364" s="329">
        <v>117.7</v>
      </c>
      <c r="F364" s="329">
        <f>D364*E364</f>
        <v>58.85</v>
      </c>
      <c r="G364" s="332"/>
    </row>
    <row r="365" spans="1:7" ht="15.75" hidden="1">
      <c r="A365" s="349">
        <v>96995</v>
      </c>
      <c r="B365" s="359" t="s">
        <v>348</v>
      </c>
      <c r="C365" s="325" t="s">
        <v>131</v>
      </c>
      <c r="D365" s="329">
        <v>0.22</v>
      </c>
      <c r="E365" s="329">
        <v>28.23</v>
      </c>
      <c r="F365" s="329">
        <f>D365*E365</f>
        <v>6.2106</v>
      </c>
      <c r="G365" s="332"/>
    </row>
    <row r="366" spans="1:7" ht="45.75" hidden="1">
      <c r="A366" s="349">
        <v>94963</v>
      </c>
      <c r="B366" s="359" t="s">
        <v>234</v>
      </c>
      <c r="C366" s="325" t="s">
        <v>131</v>
      </c>
      <c r="D366" s="329">
        <v>0.28</v>
      </c>
      <c r="E366" s="329">
        <v>239.01</v>
      </c>
      <c r="F366" s="329">
        <f>D366*E366</f>
        <v>66.92280000000001</v>
      </c>
      <c r="G366" s="332"/>
    </row>
    <row r="367" spans="1:7" ht="15.75" hidden="1">
      <c r="A367" s="334"/>
      <c r="B367" s="318" t="s">
        <v>225</v>
      </c>
      <c r="C367" s="319" t="s">
        <v>113</v>
      </c>
      <c r="D367" s="319"/>
      <c r="E367" s="319"/>
      <c r="F367" s="319"/>
      <c r="G367" s="342">
        <f>SUM(G356:G364)</f>
        <v>483.7874</v>
      </c>
    </row>
    <row r="368" spans="1:7" ht="15.75" hidden="1">
      <c r="A368" s="323"/>
      <c r="B368" s="324" t="s">
        <v>226</v>
      </c>
      <c r="C368" s="325" t="s">
        <v>113</v>
      </c>
      <c r="D368" s="325"/>
      <c r="E368" s="325"/>
      <c r="F368" s="325"/>
      <c r="G368" s="326">
        <f>G367*G10</f>
        <v>116.108976</v>
      </c>
    </row>
    <row r="369" spans="1:7" ht="15.75" hidden="1">
      <c r="A369" s="291"/>
      <c r="B369" s="360"/>
      <c r="C369" s="303"/>
      <c r="D369" s="303"/>
      <c r="E369" s="303"/>
      <c r="F369" s="303"/>
      <c r="G369" s="361"/>
    </row>
    <row r="370" spans="1:7" ht="15.75" hidden="1">
      <c r="A370" s="334"/>
      <c r="B370" s="318" t="s">
        <v>227</v>
      </c>
      <c r="C370" s="319" t="s">
        <v>113</v>
      </c>
      <c r="D370" s="319"/>
      <c r="E370" s="319"/>
      <c r="F370" s="319"/>
      <c r="G370" s="342">
        <f>SUM(G367:G368)</f>
        <v>599.896376</v>
      </c>
    </row>
    <row r="371" ht="43.5" customHeight="1" hidden="1" thickBot="1"/>
    <row r="372" spans="1:7" ht="30" customHeight="1" hidden="1" thickBot="1">
      <c r="A372" s="357"/>
      <c r="B372" s="669" t="s">
        <v>349</v>
      </c>
      <c r="C372" s="669"/>
      <c r="D372" s="669"/>
      <c r="E372" s="669"/>
      <c r="F372" s="669"/>
      <c r="G372" s="358" t="s">
        <v>210</v>
      </c>
    </row>
    <row r="373" spans="1:7" ht="16.5" hidden="1" thickBot="1">
      <c r="A373" s="296"/>
      <c r="B373" s="653" t="s">
        <v>212</v>
      </c>
      <c r="C373" s="653"/>
      <c r="D373" s="653"/>
      <c r="E373" s="653"/>
      <c r="F373" s="653"/>
      <c r="G373" s="654"/>
    </row>
    <row r="374" spans="1:7" ht="16.5" hidden="1" thickBot="1">
      <c r="A374" s="296"/>
      <c r="B374" s="311"/>
      <c r="C374" s="311"/>
      <c r="D374" s="312"/>
      <c r="E374" s="313" t="s">
        <v>213</v>
      </c>
      <c r="F374" s="313"/>
      <c r="G374" s="304"/>
    </row>
    <row r="375" spans="1:7" ht="16.5" hidden="1" thickBot="1">
      <c r="A375" s="296"/>
      <c r="B375" s="312" t="s">
        <v>93</v>
      </c>
      <c r="C375" s="315" t="s">
        <v>190</v>
      </c>
      <c r="D375" s="315" t="s">
        <v>95</v>
      </c>
      <c r="E375" s="315" t="s">
        <v>214</v>
      </c>
      <c r="F375" s="315" t="s">
        <v>96</v>
      </c>
      <c r="G375" s="316" t="s">
        <v>215</v>
      </c>
    </row>
    <row r="376" spans="1:7" ht="15.75" hidden="1">
      <c r="A376" s="317" t="s">
        <v>216</v>
      </c>
      <c r="B376" s="318" t="s">
        <v>98</v>
      </c>
      <c r="C376" s="319" t="s">
        <v>113</v>
      </c>
      <c r="D376" s="319"/>
      <c r="E376" s="319"/>
      <c r="F376" s="319"/>
      <c r="G376" s="320">
        <v>0</v>
      </c>
    </row>
    <row r="377" spans="1:7" ht="45.75" hidden="1">
      <c r="A377" s="321" t="s">
        <v>251</v>
      </c>
      <c r="B377" s="322" t="s">
        <v>218</v>
      </c>
      <c r="C377" s="319" t="s">
        <v>113</v>
      </c>
      <c r="D377" s="319"/>
      <c r="E377" s="319"/>
      <c r="F377" s="319"/>
      <c r="G377" s="320"/>
    </row>
    <row r="378" spans="1:7" ht="15.75" hidden="1">
      <c r="A378" s="323"/>
      <c r="B378" s="324" t="s">
        <v>100</v>
      </c>
      <c r="C378" s="325" t="s">
        <v>113</v>
      </c>
      <c r="D378" s="325"/>
      <c r="E378" s="325"/>
      <c r="F378" s="325"/>
      <c r="G378" s="326">
        <f>SUM(F379:F380)</f>
        <v>8.1295</v>
      </c>
    </row>
    <row r="379" spans="1:7" ht="30.75" hidden="1">
      <c r="A379" s="330">
        <v>88310</v>
      </c>
      <c r="B379" s="324" t="s">
        <v>350</v>
      </c>
      <c r="C379" s="325" t="s">
        <v>220</v>
      </c>
      <c r="D379" s="329">
        <v>0.35</v>
      </c>
      <c r="E379" s="329">
        <v>14.82</v>
      </c>
      <c r="F379" s="329">
        <f>D379*E379</f>
        <v>5.186999999999999</v>
      </c>
      <c r="G379" s="326"/>
    </row>
    <row r="380" spans="1:7" ht="15.75" hidden="1">
      <c r="A380" s="330">
        <v>88316</v>
      </c>
      <c r="B380" s="324" t="s">
        <v>103</v>
      </c>
      <c r="C380" s="325" t="s">
        <v>220</v>
      </c>
      <c r="D380" s="329">
        <v>0.25</v>
      </c>
      <c r="E380" s="329">
        <v>11.77</v>
      </c>
      <c r="F380" s="329">
        <f>D380*E380</f>
        <v>2.9425</v>
      </c>
      <c r="G380" s="326"/>
    </row>
    <row r="381" spans="1:7" ht="15.75" hidden="1">
      <c r="A381" s="323"/>
      <c r="B381" s="324" t="s">
        <v>104</v>
      </c>
      <c r="C381" s="325" t="s">
        <v>113</v>
      </c>
      <c r="D381" s="329"/>
      <c r="E381" s="329"/>
      <c r="F381" s="329"/>
      <c r="G381" s="326">
        <f>SUM(F382:F382)</f>
        <v>2.0145</v>
      </c>
    </row>
    <row r="382" spans="1:7" ht="15.75" hidden="1">
      <c r="A382" s="349">
        <v>7348</v>
      </c>
      <c r="B382" s="359" t="s">
        <v>351</v>
      </c>
      <c r="C382" s="325" t="s">
        <v>139</v>
      </c>
      <c r="D382" s="329">
        <v>0.17</v>
      </c>
      <c r="E382" s="329">
        <v>11.85</v>
      </c>
      <c r="F382" s="329">
        <f>D382*E382</f>
        <v>2.0145</v>
      </c>
      <c r="G382" s="332"/>
    </row>
    <row r="383" spans="1:7" ht="15.75" hidden="1">
      <c r="A383" s="334"/>
      <c r="B383" s="318" t="s">
        <v>225</v>
      </c>
      <c r="C383" s="319" t="s">
        <v>113</v>
      </c>
      <c r="D383" s="319"/>
      <c r="E383" s="319"/>
      <c r="F383" s="319"/>
      <c r="G383" s="342">
        <f>SUM(G376:G381)</f>
        <v>10.144</v>
      </c>
    </row>
    <row r="384" spans="1:7" ht="15.75" hidden="1">
      <c r="A384" s="323"/>
      <c r="B384" s="324" t="s">
        <v>226</v>
      </c>
      <c r="C384" s="325" t="s">
        <v>113</v>
      </c>
      <c r="D384" s="325"/>
      <c r="E384" s="325"/>
      <c r="F384" s="325"/>
      <c r="G384" s="326">
        <f>G383*G26</f>
        <v>0</v>
      </c>
    </row>
    <row r="385" spans="1:7" ht="15.75" hidden="1">
      <c r="A385" s="291"/>
      <c r="B385" s="360"/>
      <c r="C385" s="303"/>
      <c r="D385" s="303"/>
      <c r="E385" s="303"/>
      <c r="F385" s="303"/>
      <c r="G385" s="361"/>
    </row>
    <row r="386" spans="1:7" ht="15.75" hidden="1">
      <c r="A386" s="334"/>
      <c r="B386" s="318" t="s">
        <v>227</v>
      </c>
      <c r="C386" s="319" t="s">
        <v>113</v>
      </c>
      <c r="D386" s="319"/>
      <c r="E386" s="319"/>
      <c r="F386" s="319"/>
      <c r="G386" s="342">
        <f>SUM(G383:G384)</f>
        <v>10.144</v>
      </c>
    </row>
    <row r="387" ht="12.75" hidden="1"/>
  </sheetData>
  <mergeCells count="52">
    <mergeCell ref="B352:F352"/>
    <mergeCell ref="B282:G282"/>
    <mergeCell ref="B353:G353"/>
    <mergeCell ref="B372:F372"/>
    <mergeCell ref="B373:G373"/>
    <mergeCell ref="B296:F296"/>
    <mergeCell ref="B298:G298"/>
    <mergeCell ref="B313:F313"/>
    <mergeCell ref="B315:G315"/>
    <mergeCell ref="B330:F330"/>
    <mergeCell ref="B332:G332"/>
    <mergeCell ref="B240:G240"/>
    <mergeCell ref="A255:A256"/>
    <mergeCell ref="B255:F255"/>
    <mergeCell ref="B257:G257"/>
    <mergeCell ref="B280:F280"/>
    <mergeCell ref="A238:A239"/>
    <mergeCell ref="B238:F238"/>
    <mergeCell ref="B132:F133"/>
    <mergeCell ref="B134:G134"/>
    <mergeCell ref="B155:F155"/>
    <mergeCell ref="B157:G157"/>
    <mergeCell ref="B177:F177"/>
    <mergeCell ref="B179:G179"/>
    <mergeCell ref="B199:F199"/>
    <mergeCell ref="B201:G201"/>
    <mergeCell ref="B220:F220"/>
    <mergeCell ref="B221:G221"/>
    <mergeCell ref="H130:M130"/>
    <mergeCell ref="B113:F113"/>
    <mergeCell ref="H113:M113"/>
    <mergeCell ref="H114:M114"/>
    <mergeCell ref="B115:G115"/>
    <mergeCell ref="H116:M116"/>
    <mergeCell ref="H119:L119"/>
    <mergeCell ref="H120:M120"/>
    <mergeCell ref="H124:L124"/>
    <mergeCell ref="H126:M126"/>
    <mergeCell ref="H127:L127"/>
    <mergeCell ref="H129:M129"/>
    <mergeCell ref="B80:G80"/>
    <mergeCell ref="A3:G9"/>
    <mergeCell ref="E11:G11"/>
    <mergeCell ref="A12:G12"/>
    <mergeCell ref="A13:G14"/>
    <mergeCell ref="B17:F17"/>
    <mergeCell ref="B19:G19"/>
    <mergeCell ref="B37:F37"/>
    <mergeCell ref="B39:G39"/>
    <mergeCell ref="B56:F56"/>
    <mergeCell ref="B57:G57"/>
    <mergeCell ref="B79:F79"/>
  </mergeCells>
  <printOptions horizontalCentered="1"/>
  <pageMargins left="0.1968503937007874" right="0.1968503937007874" top="0.2362204724409449" bottom="0.1968503937007874" header="0.2362204724409449" footer="0.1968503937007874"/>
  <pageSetup horizontalDpi="300" verticalDpi="300" orientation="portrait" paperSize="9" scale="80" r:id="rId2"/>
  <headerFooter alignWithMargins="0">
    <oddFooter>&amp;RPágina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9"/>
  </sheetPr>
  <dimension ref="A1:L98"/>
  <sheetViews>
    <sheetView showGridLines="0" view="pageBreakPreview" zoomScale="75" zoomScaleSheetLayoutView="75" zoomScalePageLayoutView="75" workbookViewId="0" topLeftCell="A81">
      <selection activeCell="B81" sqref="B81"/>
    </sheetView>
  </sheetViews>
  <sheetFormatPr defaultColWidth="9.140625" defaultRowHeight="12.75"/>
  <cols>
    <col min="1" max="1" width="8.28125" style="494" customWidth="1"/>
    <col min="2" max="2" width="64.28125" style="407" customWidth="1"/>
    <col min="3" max="3" width="81.140625" style="407" customWidth="1"/>
    <col min="4" max="4" width="12.00390625" style="407" customWidth="1"/>
    <col min="5" max="5" width="9.57421875" style="407" customWidth="1"/>
    <col min="6" max="16384" width="9.140625" style="407" customWidth="1"/>
  </cols>
  <sheetData>
    <row r="1" spans="1:5" ht="36" customHeight="1">
      <c r="A1" s="404"/>
      <c r="B1" s="405"/>
      <c r="C1" s="405"/>
      <c r="D1" s="405"/>
      <c r="E1" s="406"/>
    </row>
    <row r="2" spans="1:5" ht="36" customHeight="1">
      <c r="A2" s="408"/>
      <c r="B2" s="409"/>
      <c r="C2" s="409"/>
      <c r="D2" s="409"/>
      <c r="E2" s="410"/>
    </row>
    <row r="3" spans="1:5" ht="12.75">
      <c r="A3" s="408"/>
      <c r="B3" s="409"/>
      <c r="C3" s="409"/>
      <c r="D3" s="409"/>
      <c r="E3" s="410"/>
    </row>
    <row r="4" spans="1:5" ht="12.75">
      <c r="A4" s="408"/>
      <c r="B4" s="409"/>
      <c r="C4" s="409"/>
      <c r="D4" s="409"/>
      <c r="E4" s="410"/>
    </row>
    <row r="5" spans="1:5" ht="13.5" customHeight="1">
      <c r="A5" s="408"/>
      <c r="B5" s="409"/>
      <c r="C5" s="409"/>
      <c r="D5" s="409"/>
      <c r="E5" s="410"/>
    </row>
    <row r="6" spans="1:5" ht="18" customHeight="1">
      <c r="A6" s="681" t="s">
        <v>352</v>
      </c>
      <c r="B6" s="682"/>
      <c r="C6" s="682"/>
      <c r="D6" s="682"/>
      <c r="E6" s="683"/>
    </row>
    <row r="7" spans="1:5" ht="18" customHeight="1">
      <c r="A7" s="684" t="s">
        <v>84</v>
      </c>
      <c r="B7" s="640"/>
      <c r="C7" s="640"/>
      <c r="D7" s="640"/>
      <c r="E7" s="685"/>
    </row>
    <row r="8" spans="1:5" ht="12.75" customHeight="1">
      <c r="A8" s="411"/>
      <c r="B8" s="284"/>
      <c r="C8" s="284"/>
      <c r="D8" s="412"/>
      <c r="E8" s="413"/>
    </row>
    <row r="9" spans="1:8" ht="15">
      <c r="A9" s="686" t="s">
        <v>353</v>
      </c>
      <c r="B9" s="687"/>
      <c r="C9" s="687"/>
      <c r="D9" s="687"/>
      <c r="E9" s="688"/>
      <c r="F9" s="414"/>
      <c r="G9" s="414"/>
      <c r="H9" s="409"/>
    </row>
    <row r="10" spans="1:8" ht="15">
      <c r="A10" s="686" t="s">
        <v>354</v>
      </c>
      <c r="B10" s="687"/>
      <c r="C10" s="687"/>
      <c r="D10" s="687"/>
      <c r="E10" s="688"/>
      <c r="F10" s="414"/>
      <c r="G10" s="414"/>
      <c r="H10" s="409"/>
    </row>
    <row r="11" spans="1:8" ht="17.25" customHeight="1">
      <c r="A11" s="415"/>
      <c r="B11" s="1"/>
      <c r="C11" s="416" t="s">
        <v>355</v>
      </c>
      <c r="D11" s="417"/>
      <c r="E11" s="410"/>
      <c r="F11" s="418"/>
      <c r="G11" s="414"/>
      <c r="H11" s="409"/>
    </row>
    <row r="12" spans="1:8" ht="18.75" customHeight="1">
      <c r="A12" s="415" t="s">
        <v>356</v>
      </c>
      <c r="B12" s="282"/>
      <c r="C12" s="283" t="s">
        <v>357</v>
      </c>
      <c r="D12" s="417"/>
      <c r="E12" s="419"/>
      <c r="F12" s="417"/>
      <c r="G12" s="417"/>
      <c r="H12" s="409"/>
    </row>
    <row r="13" spans="1:5" ht="24.75" customHeight="1">
      <c r="A13" s="689" t="s">
        <v>358</v>
      </c>
      <c r="B13" s="690"/>
      <c r="C13" s="690"/>
      <c r="D13" s="690"/>
      <c r="E13" s="691"/>
    </row>
    <row r="14" spans="1:5" ht="13.5" customHeight="1" thickBot="1">
      <c r="A14" s="692"/>
      <c r="B14" s="693"/>
      <c r="C14" s="693"/>
      <c r="D14" s="693"/>
      <c r="E14" s="694"/>
    </row>
    <row r="15" spans="1:9" ht="16.5" thickBot="1">
      <c r="A15" s="420" t="s">
        <v>0</v>
      </c>
      <c r="B15" s="421" t="s">
        <v>359</v>
      </c>
      <c r="C15" s="422" t="s">
        <v>360</v>
      </c>
      <c r="D15" s="423" t="s">
        <v>2</v>
      </c>
      <c r="E15" s="424" t="s">
        <v>361</v>
      </c>
      <c r="I15" s="425"/>
    </row>
    <row r="16" spans="1:5" ht="15.75">
      <c r="A16" s="426"/>
      <c r="B16" s="427"/>
      <c r="C16" s="428"/>
      <c r="D16" s="429"/>
      <c r="E16" s="430"/>
    </row>
    <row r="17" spans="1:5" s="432" customFormat="1" ht="27" customHeight="1">
      <c r="A17" s="431" t="s">
        <v>3</v>
      </c>
      <c r="B17" s="679" t="s">
        <v>21</v>
      </c>
      <c r="C17" s="695"/>
      <c r="D17" s="695"/>
      <c r="E17" s="696"/>
    </row>
    <row r="18" spans="1:5" s="438" customFormat="1" ht="36.75" customHeight="1">
      <c r="A18" s="433" t="s">
        <v>65</v>
      </c>
      <c r="B18" s="434" t="s">
        <v>362</v>
      </c>
      <c r="C18" s="435" t="s">
        <v>363</v>
      </c>
      <c r="D18" s="436">
        <f>ROUND(912.36+494.59,2)</f>
        <v>1406.95</v>
      </c>
      <c r="E18" s="437" t="s">
        <v>137</v>
      </c>
    </row>
    <row r="19" spans="1:8" s="440" customFormat="1" ht="15">
      <c r="A19" s="433" t="s">
        <v>154</v>
      </c>
      <c r="B19" s="439" t="s">
        <v>364</v>
      </c>
      <c r="C19" s="434" t="s">
        <v>365</v>
      </c>
      <c r="D19" s="436">
        <f>ROUND(4*2.5,2)</f>
        <v>10</v>
      </c>
      <c r="E19" s="437" t="s">
        <v>137</v>
      </c>
      <c r="H19" s="440" t="s">
        <v>362</v>
      </c>
    </row>
    <row r="20" spans="1:5" ht="15">
      <c r="A20" s="441"/>
      <c r="B20" s="439"/>
      <c r="C20" s="434"/>
      <c r="D20" s="442"/>
      <c r="E20" s="437"/>
    </row>
    <row r="21" spans="1:5" s="432" customFormat="1" ht="27" customHeight="1">
      <c r="A21" s="443" t="s">
        <v>4</v>
      </c>
      <c r="B21" s="679" t="s">
        <v>366</v>
      </c>
      <c r="C21" s="695"/>
      <c r="D21" s="695"/>
      <c r="E21" s="696"/>
    </row>
    <row r="22" spans="1:9" s="440" customFormat="1" ht="36.75" customHeight="1">
      <c r="A22" s="444" t="s">
        <v>6</v>
      </c>
      <c r="B22" s="434" t="s">
        <v>367</v>
      </c>
      <c r="C22" s="445" t="s">
        <v>368</v>
      </c>
      <c r="D22" s="446">
        <f>ROUND((912.36)+(494.59),2)</f>
        <v>1406.95</v>
      </c>
      <c r="E22" s="437" t="s">
        <v>137</v>
      </c>
      <c r="H22" s="440">
        <f>(16.34+4.6+25.19+8.52+10.9+2.98+2.98+10.9+9.13+8.52+4.6)*0.15+(817.59*0.15)</f>
        <v>138.33749999999998</v>
      </c>
      <c r="I22" s="447"/>
    </row>
    <row r="23" spans="1:5" ht="14.25" customHeight="1">
      <c r="A23" s="448"/>
      <c r="B23" s="434"/>
      <c r="C23" s="434"/>
      <c r="D23" s="449"/>
      <c r="E23" s="437"/>
    </row>
    <row r="24" spans="1:5" s="432" customFormat="1" ht="27" customHeight="1">
      <c r="A24" s="443" t="s">
        <v>7</v>
      </c>
      <c r="B24" s="679" t="s">
        <v>34</v>
      </c>
      <c r="C24" s="695"/>
      <c r="D24" s="695"/>
      <c r="E24" s="696"/>
    </row>
    <row r="25" spans="1:8" s="440" customFormat="1" ht="51" customHeight="1">
      <c r="A25" s="444" t="s">
        <v>8</v>
      </c>
      <c r="B25" s="434" t="s">
        <v>369</v>
      </c>
      <c r="C25" s="445" t="s">
        <v>370</v>
      </c>
      <c r="D25" s="449">
        <f>ROUND(((6.13+9.28+8.18)*0.45)+((25.8+9.3+6.4+10.8+25.1+37.3+32.95+28.6+38.2)*0.09),2)</f>
        <v>29.92</v>
      </c>
      <c r="E25" s="437" t="s">
        <v>137</v>
      </c>
      <c r="H25" s="447"/>
    </row>
    <row r="26" spans="1:8" s="440" customFormat="1" ht="66.75" customHeight="1">
      <c r="A26" s="444" t="s">
        <v>22</v>
      </c>
      <c r="B26" s="434" t="s">
        <v>371</v>
      </c>
      <c r="C26" s="434" t="s">
        <v>372</v>
      </c>
      <c r="D26" s="446">
        <f>ROUND(((6.13+9.28+8.18)*3*0.3)+((25.8+9.3+6.4+10.8+25.1+37.3+32.95+28.6+38.2)*0.19),2)</f>
        <v>61.98</v>
      </c>
      <c r="E26" s="437" t="s">
        <v>137</v>
      </c>
      <c r="G26" s="440">
        <f>(74.74+4.43+3.95+2.83+11.7)*0.1</f>
        <v>9.765</v>
      </c>
      <c r="H26" s="447"/>
    </row>
    <row r="27" spans="1:5" ht="15">
      <c r="A27" s="448"/>
      <c r="B27" s="434"/>
      <c r="C27" s="434"/>
      <c r="D27" s="449"/>
      <c r="E27" s="437"/>
    </row>
    <row r="28" spans="1:5" s="432" customFormat="1" ht="27.75" customHeight="1">
      <c r="A28" s="443" t="s">
        <v>9</v>
      </c>
      <c r="B28" s="679" t="s">
        <v>373</v>
      </c>
      <c r="C28" s="695"/>
      <c r="D28" s="695"/>
      <c r="E28" s="696"/>
    </row>
    <row r="29" spans="1:5" ht="15">
      <c r="A29" s="448" t="s">
        <v>10</v>
      </c>
      <c r="B29" s="697" t="s">
        <v>374</v>
      </c>
      <c r="C29" s="698"/>
      <c r="D29" s="449"/>
      <c r="E29" s="437"/>
    </row>
    <row r="30" spans="1:7" s="440" customFormat="1" ht="68.25" customHeight="1">
      <c r="A30" s="444" t="s">
        <v>375</v>
      </c>
      <c r="B30" s="434" t="s">
        <v>311</v>
      </c>
      <c r="C30" s="445" t="s">
        <v>376</v>
      </c>
      <c r="D30" s="446">
        <f>ROUND((3.2*8+3.05*8),2)</f>
        <v>50</v>
      </c>
      <c r="E30" s="437" t="s">
        <v>137</v>
      </c>
      <c r="G30" s="440">
        <f>(0.15*74.74)*2+(0.15*11.21)*2</f>
        <v>25.784999999999997</v>
      </c>
    </row>
    <row r="31" spans="1:10" s="440" customFormat="1" ht="54.75" customHeight="1">
      <c r="A31" s="444" t="s">
        <v>377</v>
      </c>
      <c r="B31" s="434" t="s">
        <v>378</v>
      </c>
      <c r="C31" s="445" t="s">
        <v>379</v>
      </c>
      <c r="D31" s="446">
        <f>ROUND((125.76+115.2+102.4+53.76*2+140.8)*0.624,2)</f>
        <v>369.21</v>
      </c>
      <c r="E31" s="437" t="s">
        <v>128</v>
      </c>
      <c r="J31" s="440">
        <v>153.51</v>
      </c>
    </row>
    <row r="32" spans="1:10" s="440" customFormat="1" ht="54" customHeight="1">
      <c r="A32" s="444" t="s">
        <v>380</v>
      </c>
      <c r="B32" s="434" t="s">
        <v>381</v>
      </c>
      <c r="C32" s="445" t="s">
        <v>382</v>
      </c>
      <c r="D32" s="446">
        <f>ROUND((86.92+78.72+93.12+232.8)*0.157,2)</f>
        <v>77.17</v>
      </c>
      <c r="E32" s="437" t="s">
        <v>128</v>
      </c>
      <c r="J32" s="440">
        <v>36.68</v>
      </c>
    </row>
    <row r="33" spans="1:8" s="440" customFormat="1" ht="30">
      <c r="A33" s="444" t="s">
        <v>383</v>
      </c>
      <c r="B33" s="434" t="s">
        <v>384</v>
      </c>
      <c r="C33" s="445" t="s">
        <v>385</v>
      </c>
      <c r="D33" s="446">
        <f>ROUND((0.9*0.9*0.8)*4*2,2)</f>
        <v>5.18</v>
      </c>
      <c r="E33" s="437" t="s">
        <v>131</v>
      </c>
      <c r="G33" s="440">
        <f>0.2*0.15*(74.74)+0.4*0.15*(11.21)</f>
        <v>2.9148</v>
      </c>
      <c r="H33" s="440">
        <v>3.28</v>
      </c>
    </row>
    <row r="34" spans="1:8" s="440" customFormat="1" ht="30">
      <c r="A34" s="444" t="s">
        <v>386</v>
      </c>
      <c r="B34" s="434" t="s">
        <v>310</v>
      </c>
      <c r="C34" s="445" t="str">
        <f>C33</f>
        <v>(Para Blocos) 
A = (0,90*0,90*0,80)*4*2</v>
      </c>
      <c r="D34" s="446">
        <f>D33</f>
        <v>5.18</v>
      </c>
      <c r="E34" s="437" t="s">
        <v>131</v>
      </c>
      <c r="H34" s="440">
        <v>3.28</v>
      </c>
    </row>
    <row r="35" spans="1:5" ht="30" customHeight="1">
      <c r="A35" s="448" t="s">
        <v>29</v>
      </c>
      <c r="B35" s="697" t="s">
        <v>387</v>
      </c>
      <c r="C35" s="698"/>
      <c r="D35" s="449"/>
      <c r="E35" s="437"/>
    </row>
    <row r="36" spans="1:6" s="440" customFormat="1" ht="28.5" customHeight="1">
      <c r="A36" s="444" t="s">
        <v>388</v>
      </c>
      <c r="B36" s="434" t="s">
        <v>389</v>
      </c>
      <c r="C36" s="445" t="s">
        <v>390</v>
      </c>
      <c r="D36" s="446">
        <v>1</v>
      </c>
      <c r="E36" s="437" t="s">
        <v>110</v>
      </c>
      <c r="F36" s="440">
        <f>((0.15*0.3*2*6)+(0.3*1.5*2*6)+(0.15*0.9*6))+((0.35*2*143.52)+(0.15*143.52))+((0.25*2*45.03)+(0.15*45.03))+(0.9*3.2)*12+(1.45*10.9)+(1.1*2.75)*4+(1.1*2.75)*9+(1.1*9)*12+(1.1*7)*3</f>
        <v>389.60150000000004</v>
      </c>
    </row>
    <row r="37" spans="1:5" ht="15">
      <c r="A37" s="448"/>
      <c r="B37" s="434"/>
      <c r="C37" s="445"/>
      <c r="D37" s="449"/>
      <c r="E37" s="437"/>
    </row>
    <row r="38" spans="1:5" s="432" customFormat="1" ht="22.5" customHeight="1">
      <c r="A38" s="443" t="s">
        <v>11</v>
      </c>
      <c r="B38" s="679" t="s">
        <v>391</v>
      </c>
      <c r="C38" s="680"/>
      <c r="D38" s="450"/>
      <c r="E38" s="451"/>
    </row>
    <row r="39" spans="1:9" s="440" customFormat="1" ht="30">
      <c r="A39" s="444" t="s">
        <v>12</v>
      </c>
      <c r="B39" s="434" t="s">
        <v>392</v>
      </c>
      <c r="C39" s="445" t="s">
        <v>393</v>
      </c>
      <c r="D39" s="446">
        <f>D41</f>
        <v>167.52</v>
      </c>
      <c r="E39" s="437" t="s">
        <v>137</v>
      </c>
      <c r="G39" s="452"/>
      <c r="I39" s="453"/>
    </row>
    <row r="40" spans="1:9" s="440" customFormat="1" ht="45">
      <c r="A40" s="444" t="s">
        <v>394</v>
      </c>
      <c r="B40" s="454" t="s">
        <v>395</v>
      </c>
      <c r="C40" s="445" t="str">
        <f>C39</f>
        <v>(área a receber revestimento) 
A = 103,80 + 63,72</v>
      </c>
      <c r="D40" s="446">
        <f>D41</f>
        <v>167.52</v>
      </c>
      <c r="E40" s="437" t="s">
        <v>137</v>
      </c>
      <c r="G40" s="452"/>
      <c r="I40" s="453"/>
    </row>
    <row r="41" spans="1:9" s="440" customFormat="1" ht="48.75" customHeight="1">
      <c r="A41" s="444" t="s">
        <v>396</v>
      </c>
      <c r="B41" s="454" t="s">
        <v>397</v>
      </c>
      <c r="C41" s="434" t="s">
        <v>398</v>
      </c>
      <c r="D41" s="446">
        <f>ROUND(103.8+63.72,2)</f>
        <v>167.52</v>
      </c>
      <c r="E41" s="437" t="s">
        <v>137</v>
      </c>
      <c r="F41" s="440" t="s">
        <v>399</v>
      </c>
      <c r="G41" s="452"/>
      <c r="I41" s="453"/>
    </row>
    <row r="42" spans="1:9" s="440" customFormat="1" ht="71.25" customHeight="1">
      <c r="A42" s="444" t="s">
        <v>400</v>
      </c>
      <c r="B42" s="454" t="s">
        <v>401</v>
      </c>
      <c r="C42" s="434" t="s">
        <v>402</v>
      </c>
      <c r="D42" s="446">
        <f>620.81</f>
        <v>620.81</v>
      </c>
      <c r="E42" s="437" t="s">
        <v>137</v>
      </c>
      <c r="I42" s="453"/>
    </row>
    <row r="43" spans="1:9" s="440" customFormat="1" ht="51.75" customHeight="1">
      <c r="A43" s="444" t="s">
        <v>403</v>
      </c>
      <c r="B43" s="454" t="s">
        <v>401</v>
      </c>
      <c r="C43" s="434" t="s">
        <v>404</v>
      </c>
      <c r="D43" s="446">
        <v>347.1</v>
      </c>
      <c r="E43" s="437" t="s">
        <v>137</v>
      </c>
      <c r="I43" s="453"/>
    </row>
    <row r="44" spans="1:9" s="440" customFormat="1" ht="66" customHeight="1">
      <c r="A44" s="444" t="s">
        <v>405</v>
      </c>
      <c r="B44" s="454" t="s">
        <v>406</v>
      </c>
      <c r="C44" s="434" t="s">
        <v>407</v>
      </c>
      <c r="D44" s="446">
        <f>ROUND(175.2+155.2-(2.2*5),2)</f>
        <v>319.4</v>
      </c>
      <c r="E44" s="437" t="s">
        <v>106</v>
      </c>
      <c r="I44" s="453"/>
    </row>
    <row r="45" spans="1:8" ht="15">
      <c r="A45" s="448"/>
      <c r="B45" s="455"/>
      <c r="C45" s="434"/>
      <c r="D45" s="449"/>
      <c r="E45" s="437"/>
      <c r="F45" s="440"/>
      <c r="G45" s="440"/>
      <c r="H45" s="440"/>
    </row>
    <row r="46" spans="1:5" s="432" customFormat="1" ht="30.75" customHeight="1">
      <c r="A46" s="443" t="s">
        <v>13</v>
      </c>
      <c r="B46" s="679" t="s">
        <v>408</v>
      </c>
      <c r="C46" s="695"/>
      <c r="D46" s="695"/>
      <c r="E46" s="696"/>
    </row>
    <row r="47" spans="1:5" s="432" customFormat="1" ht="66.75" customHeight="1">
      <c r="A47" s="444" t="s">
        <v>14</v>
      </c>
      <c r="B47" s="456" t="s">
        <v>409</v>
      </c>
      <c r="C47" s="456" t="s">
        <v>390</v>
      </c>
      <c r="D47" s="457">
        <v>1</v>
      </c>
      <c r="E47" s="458" t="s">
        <v>110</v>
      </c>
    </row>
    <row r="48" spans="1:5" s="459" customFormat="1" ht="30.75" customHeight="1">
      <c r="A48" s="444" t="s">
        <v>36</v>
      </c>
      <c r="B48" s="456" t="s">
        <v>410</v>
      </c>
      <c r="C48" s="456" t="s">
        <v>411</v>
      </c>
      <c r="D48" s="457">
        <v>1</v>
      </c>
      <c r="E48" s="458" t="s">
        <v>110</v>
      </c>
    </row>
    <row r="49" spans="1:5" s="459" customFormat="1" ht="66.75" customHeight="1">
      <c r="A49" s="444" t="s">
        <v>412</v>
      </c>
      <c r="B49" s="456" t="s">
        <v>413</v>
      </c>
      <c r="C49" s="456" t="s">
        <v>390</v>
      </c>
      <c r="D49" s="457">
        <v>1</v>
      </c>
      <c r="E49" s="458" t="s">
        <v>110</v>
      </c>
    </row>
    <row r="50" spans="1:7" s="459" customFormat="1" ht="37.5" customHeight="1">
      <c r="A50" s="444" t="s">
        <v>414</v>
      </c>
      <c r="B50" s="456" t="s">
        <v>415</v>
      </c>
      <c r="C50" s="456" t="s">
        <v>416</v>
      </c>
      <c r="D50" s="457">
        <v>6</v>
      </c>
      <c r="E50" s="458" t="s">
        <v>110</v>
      </c>
      <c r="G50" s="459" t="s">
        <v>415</v>
      </c>
    </row>
    <row r="51" spans="1:5" s="459" customFormat="1" ht="37.5" customHeight="1">
      <c r="A51" s="444" t="s">
        <v>417</v>
      </c>
      <c r="B51" s="456" t="s">
        <v>418</v>
      </c>
      <c r="C51" s="456" t="s">
        <v>390</v>
      </c>
      <c r="D51" s="457">
        <v>1</v>
      </c>
      <c r="E51" s="458" t="s">
        <v>110</v>
      </c>
    </row>
    <row r="52" spans="1:5" s="459" customFormat="1" ht="37.5" customHeight="1">
      <c r="A52" s="444" t="s">
        <v>419</v>
      </c>
      <c r="B52" s="456" t="s">
        <v>420</v>
      </c>
      <c r="C52" s="456" t="s">
        <v>421</v>
      </c>
      <c r="D52" s="457">
        <v>11</v>
      </c>
      <c r="E52" s="458" t="s">
        <v>110</v>
      </c>
    </row>
    <row r="53" spans="1:5" s="459" customFormat="1" ht="37.5" customHeight="1">
      <c r="A53" s="444" t="s">
        <v>422</v>
      </c>
      <c r="B53" s="456" t="s">
        <v>423</v>
      </c>
      <c r="C53" s="456" t="s">
        <v>424</v>
      </c>
      <c r="D53" s="457">
        <v>12</v>
      </c>
      <c r="E53" s="458" t="s">
        <v>110</v>
      </c>
    </row>
    <row r="54" spans="1:5" s="459" customFormat="1" ht="37.5" customHeight="1">
      <c r="A54" s="444" t="s">
        <v>425</v>
      </c>
      <c r="B54" s="456" t="s">
        <v>426</v>
      </c>
      <c r="C54" s="456" t="s">
        <v>421</v>
      </c>
      <c r="D54" s="457">
        <v>11</v>
      </c>
      <c r="E54" s="458" t="s">
        <v>110</v>
      </c>
    </row>
    <row r="55" spans="1:12" s="459" customFormat="1" ht="36" customHeight="1">
      <c r="A55" s="444" t="s">
        <v>427</v>
      </c>
      <c r="B55" s="456" t="s">
        <v>428</v>
      </c>
      <c r="C55" s="456" t="s">
        <v>429</v>
      </c>
      <c r="D55" s="56">
        <v>1238</v>
      </c>
      <c r="E55" s="458" t="s">
        <v>106</v>
      </c>
      <c r="G55" s="459">
        <f>(13.87+8.8+12.65+7.96)+(13.87+8.8+12.65+7.96+10.48+6.87+6.92+10.43+7.98)+(0.8*9)+(1.66+2.85+1.43+1.36+0.25+0.66+0.58+2.17+1.61+0.08+0.24+1.72+2.05+0.22+0.67+0.8+2.52+3.08+1.78+1.07+3.14+0.23+0.85+1.7+1.05+2.39+1.11+4.76)+(1.1+3.74+10.02)+(9*9)+(1.7*9+2.6*4+5.2+3.2*5)</f>
        <v>321.22999999999996</v>
      </c>
      <c r="I55" s="460"/>
      <c r="L55" s="460"/>
    </row>
    <row r="56" spans="1:10" s="459" customFormat="1" ht="36" customHeight="1">
      <c r="A56" s="444" t="s">
        <v>430</v>
      </c>
      <c r="B56" s="456" t="s">
        <v>431</v>
      </c>
      <c r="C56" s="456" t="s">
        <v>432</v>
      </c>
      <c r="D56" s="56">
        <v>84.8</v>
      </c>
      <c r="E56" s="458" t="s">
        <v>106</v>
      </c>
      <c r="J56" s="460"/>
    </row>
    <row r="57" spans="1:10" s="459" customFormat="1" ht="36" customHeight="1">
      <c r="A57" s="444" t="s">
        <v>433</v>
      </c>
      <c r="B57" s="456" t="s">
        <v>434</v>
      </c>
      <c r="C57" s="456" t="s">
        <v>435</v>
      </c>
      <c r="D57" s="56">
        <v>397.3</v>
      </c>
      <c r="E57" s="458" t="s">
        <v>106</v>
      </c>
      <c r="G57" s="459">
        <f>(13.87+8.8+12.65+7.96+10.48+6.87+6.92+10.43+7.98)+(0.8*9)+(9*9)</f>
        <v>174.16</v>
      </c>
      <c r="J57" s="460"/>
    </row>
    <row r="58" spans="1:5" s="459" customFormat="1" ht="21" customHeight="1">
      <c r="A58" s="444" t="s">
        <v>436</v>
      </c>
      <c r="B58" s="456" t="s">
        <v>437</v>
      </c>
      <c r="C58" s="456" t="s">
        <v>438</v>
      </c>
      <c r="D58" s="457">
        <v>22</v>
      </c>
      <c r="E58" s="458" t="s">
        <v>110</v>
      </c>
    </row>
    <row r="59" spans="1:5" s="459" customFormat="1" ht="51" customHeight="1">
      <c r="A59" s="444" t="s">
        <v>439</v>
      </c>
      <c r="B59" s="456" t="s">
        <v>440</v>
      </c>
      <c r="C59" s="456" t="s">
        <v>421</v>
      </c>
      <c r="D59" s="457">
        <v>11</v>
      </c>
      <c r="E59" s="458" t="s">
        <v>110</v>
      </c>
    </row>
    <row r="60" spans="1:5" s="459" customFormat="1" ht="51" customHeight="1">
      <c r="A60" s="444" t="s">
        <v>441</v>
      </c>
      <c r="B60" s="456" t="s">
        <v>442</v>
      </c>
      <c r="C60" s="456" t="s">
        <v>438</v>
      </c>
      <c r="D60" s="457">
        <v>22</v>
      </c>
      <c r="E60" s="458" t="s">
        <v>110</v>
      </c>
    </row>
    <row r="61" spans="1:5" s="459" customFormat="1" ht="37.5" customHeight="1">
      <c r="A61" s="444" t="s">
        <v>443</v>
      </c>
      <c r="B61" s="456" t="s">
        <v>444</v>
      </c>
      <c r="C61" s="456" t="s">
        <v>445</v>
      </c>
      <c r="D61" s="457">
        <v>33</v>
      </c>
      <c r="E61" s="458" t="s">
        <v>110</v>
      </c>
    </row>
    <row r="62" spans="1:5" s="459" customFormat="1" ht="36.75" customHeight="1">
      <c r="A62" s="444" t="s">
        <v>446</v>
      </c>
      <c r="B62" s="456" t="s">
        <v>447</v>
      </c>
      <c r="C62" s="456" t="s">
        <v>448</v>
      </c>
      <c r="D62" s="457">
        <v>11</v>
      </c>
      <c r="E62" s="458" t="s">
        <v>110</v>
      </c>
    </row>
    <row r="63" spans="1:5" s="440" customFormat="1" ht="15">
      <c r="A63" s="448"/>
      <c r="B63" s="434"/>
      <c r="C63" s="434"/>
      <c r="D63" s="449"/>
      <c r="E63" s="437"/>
    </row>
    <row r="64" spans="1:5" s="432" customFormat="1" ht="27.75" customHeight="1">
      <c r="A64" s="431" t="s">
        <v>15</v>
      </c>
      <c r="B64" s="679" t="s">
        <v>449</v>
      </c>
      <c r="C64" s="695"/>
      <c r="D64" s="695"/>
      <c r="E64" s="696"/>
    </row>
    <row r="65" spans="1:5" s="462" customFormat="1" ht="42.75" customHeight="1">
      <c r="A65" s="433" t="s">
        <v>16</v>
      </c>
      <c r="B65" s="456" t="s">
        <v>450</v>
      </c>
      <c r="C65" s="456" t="s">
        <v>451</v>
      </c>
      <c r="D65" s="461">
        <f>ROUND(7.69+7.87,2)</f>
        <v>15.56</v>
      </c>
      <c r="E65" s="458" t="s">
        <v>106</v>
      </c>
    </row>
    <row r="66" spans="1:5" s="462" customFormat="1" ht="27.75" customHeight="1">
      <c r="A66" s="433" t="s">
        <v>30</v>
      </c>
      <c r="B66" s="463" t="s">
        <v>452</v>
      </c>
      <c r="C66" s="464" t="s">
        <v>390</v>
      </c>
      <c r="D66" s="465">
        <v>1</v>
      </c>
      <c r="E66" s="458" t="s">
        <v>110</v>
      </c>
    </row>
    <row r="67" spans="1:5" s="462" customFormat="1" ht="28.5" customHeight="1">
      <c r="A67" s="433" t="s">
        <v>453</v>
      </c>
      <c r="B67" s="456" t="s">
        <v>454</v>
      </c>
      <c r="C67" s="464" t="s">
        <v>455</v>
      </c>
      <c r="D67" s="465">
        <v>2</v>
      </c>
      <c r="E67" s="458" t="s">
        <v>110</v>
      </c>
    </row>
    <row r="68" spans="1:5" s="462" customFormat="1" ht="38.25" customHeight="1">
      <c r="A68" s="433" t="s">
        <v>456</v>
      </c>
      <c r="B68" s="466" t="s">
        <v>457</v>
      </c>
      <c r="C68" s="456" t="s">
        <v>458</v>
      </c>
      <c r="D68" s="457">
        <v>3</v>
      </c>
      <c r="E68" s="467" t="s">
        <v>110</v>
      </c>
    </row>
    <row r="69" spans="1:5" s="462" customFormat="1" ht="30" customHeight="1">
      <c r="A69" s="433" t="s">
        <v>459</v>
      </c>
      <c r="B69" s="466" t="s">
        <v>460</v>
      </c>
      <c r="C69" s="456" t="s">
        <v>461</v>
      </c>
      <c r="D69" s="457">
        <v>4</v>
      </c>
      <c r="E69" s="467" t="s">
        <v>110</v>
      </c>
    </row>
    <row r="70" spans="1:5" s="462" customFormat="1" ht="33" customHeight="1">
      <c r="A70" s="433" t="s">
        <v>462</v>
      </c>
      <c r="B70" s="466" t="s">
        <v>463</v>
      </c>
      <c r="C70" s="456" t="s">
        <v>458</v>
      </c>
      <c r="D70" s="457">
        <v>3</v>
      </c>
      <c r="E70" s="467" t="s">
        <v>110</v>
      </c>
    </row>
    <row r="71" spans="1:5" s="462" customFormat="1" ht="33" customHeight="1">
      <c r="A71" s="433" t="s">
        <v>464</v>
      </c>
      <c r="B71" s="466" t="s">
        <v>465</v>
      </c>
      <c r="C71" s="456" t="s">
        <v>390</v>
      </c>
      <c r="D71" s="457">
        <v>1</v>
      </c>
      <c r="E71" s="467" t="s">
        <v>110</v>
      </c>
    </row>
    <row r="72" spans="1:5" s="462" customFormat="1" ht="27.75" customHeight="1">
      <c r="A72" s="433" t="s">
        <v>466</v>
      </c>
      <c r="B72" s="466" t="s">
        <v>467</v>
      </c>
      <c r="C72" s="456" t="s">
        <v>390</v>
      </c>
      <c r="D72" s="457">
        <v>1</v>
      </c>
      <c r="E72" s="467" t="s">
        <v>110</v>
      </c>
    </row>
    <row r="73" spans="1:5" ht="15">
      <c r="A73" s="441"/>
      <c r="B73" s="468"/>
      <c r="C73" s="469"/>
      <c r="D73" s="470"/>
      <c r="E73" s="471"/>
    </row>
    <row r="74" spans="1:5" s="432" customFormat="1" ht="27.75" customHeight="1">
      <c r="A74" s="443" t="s">
        <v>17</v>
      </c>
      <c r="B74" s="679" t="s">
        <v>468</v>
      </c>
      <c r="C74" s="695"/>
      <c r="D74" s="695"/>
      <c r="E74" s="696"/>
    </row>
    <row r="75" spans="1:8" s="440" customFormat="1" ht="48" customHeight="1">
      <c r="A75" s="444" t="s">
        <v>67</v>
      </c>
      <c r="B75" s="472" t="s">
        <v>469</v>
      </c>
      <c r="C75" s="434" t="s">
        <v>470</v>
      </c>
      <c r="D75" s="446">
        <f>ROUND((25.8+9.3+6.4+10.8+25.1+37.3+32.95+28.6+38.2)*0.3,2)</f>
        <v>64.34</v>
      </c>
      <c r="E75" s="437" t="s">
        <v>137</v>
      </c>
      <c r="H75" s="452" t="s">
        <v>471</v>
      </c>
    </row>
    <row r="76" spans="1:5" s="440" customFormat="1" ht="48" customHeight="1">
      <c r="A76" s="444" t="s">
        <v>68</v>
      </c>
      <c r="B76" s="472" t="s">
        <v>469</v>
      </c>
      <c r="C76" s="434" t="s">
        <v>472</v>
      </c>
      <c r="D76" s="446">
        <v>347.1</v>
      </c>
      <c r="E76" s="437" t="s">
        <v>137</v>
      </c>
    </row>
    <row r="77" spans="1:5" s="440" customFormat="1" ht="42" customHeight="1">
      <c r="A77" s="444" t="s">
        <v>75</v>
      </c>
      <c r="B77" s="472" t="s">
        <v>473</v>
      </c>
      <c r="C77" s="434" t="s">
        <v>474</v>
      </c>
      <c r="D77" s="446">
        <v>15.49</v>
      </c>
      <c r="E77" s="437" t="s">
        <v>137</v>
      </c>
    </row>
    <row r="78" spans="1:5" s="440" customFormat="1" ht="48" customHeight="1">
      <c r="A78" s="444" t="s">
        <v>475</v>
      </c>
      <c r="B78" s="472" t="s">
        <v>476</v>
      </c>
      <c r="C78" s="434" t="s">
        <v>477</v>
      </c>
      <c r="D78" s="440">
        <f>ROUND((3.05+2.55+3.2+2.7+3.2+2.7+6.03+2.55+3.05+5.03)*2+(7.76+10.56)+(27.8*0.3),2)</f>
        <v>94.78</v>
      </c>
      <c r="E78" s="437" t="s">
        <v>137</v>
      </c>
    </row>
    <row r="79" spans="1:5" s="440" customFormat="1" ht="15">
      <c r="A79" s="448"/>
      <c r="B79" s="473"/>
      <c r="C79" s="474"/>
      <c r="D79" s="446"/>
      <c r="E79" s="437"/>
    </row>
    <row r="80" spans="1:5" s="432" customFormat="1" ht="27" customHeight="1">
      <c r="A80" s="443" t="s">
        <v>150</v>
      </c>
      <c r="B80" s="679" t="s">
        <v>478</v>
      </c>
      <c r="C80" s="695"/>
      <c r="D80" s="695"/>
      <c r="E80" s="695"/>
    </row>
    <row r="81" spans="1:5" s="440" customFormat="1" ht="36" customHeight="1">
      <c r="A81" s="475" t="s">
        <v>479</v>
      </c>
      <c r="B81" s="472" t="s">
        <v>480</v>
      </c>
      <c r="C81" s="434" t="s">
        <v>481</v>
      </c>
      <c r="D81" s="476">
        <f>ROUND(30.52+2.07+1.18+2.26+24.23+25.98+13.92+16.2+35.76,2)</f>
        <v>152.12</v>
      </c>
      <c r="E81" s="477" t="s">
        <v>137</v>
      </c>
    </row>
    <row r="82" spans="1:5" s="440" customFormat="1" ht="36" customHeight="1">
      <c r="A82" s="475" t="s">
        <v>482</v>
      </c>
      <c r="B82" s="472" t="s">
        <v>483</v>
      </c>
      <c r="C82" s="434" t="s">
        <v>484</v>
      </c>
      <c r="D82" s="478">
        <v>6</v>
      </c>
      <c r="E82" s="477" t="s">
        <v>110</v>
      </c>
    </row>
    <row r="83" spans="1:5" s="440" customFormat="1" ht="36" customHeight="1">
      <c r="A83" s="475" t="s">
        <v>485</v>
      </c>
      <c r="B83" s="472" t="s">
        <v>486</v>
      </c>
      <c r="C83" s="434" t="s">
        <v>421</v>
      </c>
      <c r="D83" s="478">
        <v>11</v>
      </c>
      <c r="E83" s="477" t="s">
        <v>110</v>
      </c>
    </row>
    <row r="84" spans="1:5" s="440" customFormat="1" ht="33.75" customHeight="1">
      <c r="A84" s="475" t="s">
        <v>487</v>
      </c>
      <c r="B84" s="472" t="s">
        <v>488</v>
      </c>
      <c r="C84" s="434" t="s">
        <v>484</v>
      </c>
      <c r="D84" s="478">
        <v>6</v>
      </c>
      <c r="E84" s="477" t="s">
        <v>110</v>
      </c>
    </row>
    <row r="85" spans="1:5" s="440" customFormat="1" ht="15">
      <c r="A85" s="479"/>
      <c r="B85" s="472"/>
      <c r="C85" s="479"/>
      <c r="D85" s="478"/>
      <c r="E85" s="480"/>
    </row>
    <row r="86" spans="1:5" s="432" customFormat="1" ht="27.75" customHeight="1">
      <c r="A86" s="443" t="s">
        <v>489</v>
      </c>
      <c r="B86" s="679" t="s">
        <v>20</v>
      </c>
      <c r="C86" s="695"/>
      <c r="D86" s="695"/>
      <c r="E86" s="696"/>
    </row>
    <row r="87" spans="1:5" s="440" customFormat="1" ht="35.25" customHeight="1">
      <c r="A87" s="481" t="s">
        <v>490</v>
      </c>
      <c r="B87" s="434" t="s">
        <v>491</v>
      </c>
      <c r="C87" s="434" t="s">
        <v>492</v>
      </c>
      <c r="D87" s="446">
        <v>5</v>
      </c>
      <c r="E87" s="437" t="s">
        <v>110</v>
      </c>
    </row>
    <row r="88" spans="1:5" s="440" customFormat="1" ht="36" customHeight="1">
      <c r="A88" s="481" t="s">
        <v>493</v>
      </c>
      <c r="B88" s="434" t="s">
        <v>494</v>
      </c>
      <c r="C88" s="434" t="s">
        <v>495</v>
      </c>
      <c r="D88" s="446">
        <v>8</v>
      </c>
      <c r="E88" s="437" t="s">
        <v>110</v>
      </c>
    </row>
    <row r="89" spans="1:5" s="440" customFormat="1" ht="54" customHeight="1">
      <c r="A89" s="481" t="s">
        <v>496</v>
      </c>
      <c r="B89" s="482" t="s">
        <v>497</v>
      </c>
      <c r="C89" s="482" t="s">
        <v>498</v>
      </c>
      <c r="D89" s="483">
        <v>16</v>
      </c>
      <c r="E89" s="484" t="s">
        <v>110</v>
      </c>
    </row>
    <row r="90" spans="1:5" s="440" customFormat="1" ht="36" customHeight="1">
      <c r="A90" s="481" t="s">
        <v>499</v>
      </c>
      <c r="B90" s="482" t="s">
        <v>500</v>
      </c>
      <c r="C90" s="482" t="s">
        <v>455</v>
      </c>
      <c r="D90" s="483">
        <v>2</v>
      </c>
      <c r="E90" s="484" t="s">
        <v>110</v>
      </c>
    </row>
    <row r="91" spans="1:5" s="440" customFormat="1" ht="70.5" customHeight="1">
      <c r="A91" s="481" t="s">
        <v>501</v>
      </c>
      <c r="B91" s="482" t="s">
        <v>502</v>
      </c>
      <c r="C91" s="482" t="s">
        <v>503</v>
      </c>
      <c r="D91" s="483">
        <v>10</v>
      </c>
      <c r="E91" s="484" t="s">
        <v>110</v>
      </c>
    </row>
    <row r="92" spans="1:5" s="440" customFormat="1" ht="36" customHeight="1">
      <c r="A92" s="481" t="s">
        <v>504</v>
      </c>
      <c r="B92" s="482" t="s">
        <v>505</v>
      </c>
      <c r="C92" s="434" t="s">
        <v>506</v>
      </c>
      <c r="D92" s="483">
        <f>ROUND(28*2,2)</f>
        <v>56</v>
      </c>
      <c r="E92" s="484" t="s">
        <v>137</v>
      </c>
    </row>
    <row r="93" spans="1:5" s="440" customFormat="1" ht="24" customHeight="1">
      <c r="A93" s="481" t="s">
        <v>507</v>
      </c>
      <c r="B93" s="485" t="s">
        <v>508</v>
      </c>
      <c r="C93" s="486" t="str">
        <f>C18</f>
        <v>(Obs: considerar área da praça) A = (912,36+494,59)</v>
      </c>
      <c r="D93" s="487">
        <f>D18</f>
        <v>1406.95</v>
      </c>
      <c r="E93" s="484" t="s">
        <v>137</v>
      </c>
    </row>
    <row r="94" spans="1:5" ht="12.75">
      <c r="A94" s="488"/>
      <c r="B94" s="489"/>
      <c r="C94" s="489"/>
      <c r="D94" s="489"/>
      <c r="E94" s="489"/>
    </row>
    <row r="95" spans="1:5" ht="12.75">
      <c r="A95" s="488"/>
      <c r="B95" s="489"/>
      <c r="C95" s="489"/>
      <c r="D95" s="489"/>
      <c r="E95" s="489"/>
    </row>
    <row r="96" spans="1:5" ht="12.75">
      <c r="A96" s="488"/>
      <c r="B96" s="489"/>
      <c r="C96" s="489"/>
      <c r="D96" s="489"/>
      <c r="E96" s="489"/>
    </row>
    <row r="97" spans="1:5" ht="12.75">
      <c r="A97" s="488"/>
      <c r="B97" s="489"/>
      <c r="C97" s="489"/>
      <c r="D97" s="489"/>
      <c r="E97" s="489"/>
    </row>
    <row r="98" spans="1:5" ht="15">
      <c r="A98" s="448"/>
      <c r="B98" s="490"/>
      <c r="C98" s="491"/>
      <c r="D98" s="492"/>
      <c r="E98" s="493"/>
    </row>
  </sheetData>
  <mergeCells count="17">
    <mergeCell ref="B46:E46"/>
    <mergeCell ref="B64:E64"/>
    <mergeCell ref="B74:E74"/>
    <mergeCell ref="B80:E80"/>
    <mergeCell ref="B86:E86"/>
    <mergeCell ref="B38:C38"/>
    <mergeCell ref="A6:E6"/>
    <mergeCell ref="A7:E7"/>
    <mergeCell ref="A9:E9"/>
    <mergeCell ref="A10:E10"/>
    <mergeCell ref="A13:E14"/>
    <mergeCell ref="B17:E17"/>
    <mergeCell ref="B21:E21"/>
    <mergeCell ref="B24:E24"/>
    <mergeCell ref="B28:E28"/>
    <mergeCell ref="B29:C29"/>
    <mergeCell ref="B35:C35"/>
  </mergeCells>
  <printOptions horizontalCentered="1"/>
  <pageMargins left="0.11811023622047245" right="0.11811023622047245" top="0.31496062992125984" bottom="0.1968503937007874" header="0.35433070866141736" footer="0.2755905511811024"/>
  <pageSetup horizontalDpi="600" verticalDpi="600" orientation="portrait" paperSize="9" scale="55" r:id="rId2"/>
  <headerFooter alignWithMargins="0">
    <oddHeader>&amp;C 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AH104"/>
  <sheetViews>
    <sheetView view="pageBreakPreview" zoomScale="70" zoomScaleSheetLayoutView="70" workbookViewId="0" topLeftCell="A58">
      <selection activeCell="I61" sqref="I61"/>
    </sheetView>
  </sheetViews>
  <sheetFormatPr defaultColWidth="9.140625" defaultRowHeight="12.75"/>
  <cols>
    <col min="1" max="1" width="8.7109375" style="565" customWidth="1"/>
    <col min="2" max="2" width="67.00390625" style="11" customWidth="1"/>
    <col min="3" max="3" width="6.00390625" style="10" customWidth="1"/>
    <col min="4" max="4" width="16.140625" style="418" bestFit="1" customWidth="1"/>
    <col min="5" max="5" width="14.28125" style="418" customWidth="1"/>
    <col min="6" max="6" width="16.8515625" style="418" customWidth="1"/>
    <col min="7" max="7" width="46.57421875" style="418" customWidth="1"/>
    <col min="8" max="8" width="16.28125" style="418" customWidth="1"/>
    <col min="9" max="9" width="15.140625" style="418" bestFit="1" customWidth="1"/>
    <col min="10" max="10" width="16.28125" style="4" customWidth="1"/>
    <col min="11" max="16384" width="9.140625" style="4" customWidth="1"/>
  </cols>
  <sheetData>
    <row r="1" spans="1:9" ht="12.75">
      <c r="A1" s="495"/>
      <c r="B1" s="2"/>
      <c r="C1" s="3"/>
      <c r="D1" s="496"/>
      <c r="E1" s="496"/>
      <c r="F1" s="496"/>
      <c r="G1" s="497"/>
      <c r="H1" s="417"/>
      <c r="I1" s="417"/>
    </row>
    <row r="2" spans="1:9" ht="13.5" customHeight="1">
      <c r="A2" s="498"/>
      <c r="B2" s="284"/>
      <c r="C2" s="284"/>
      <c r="D2" s="412"/>
      <c r="E2" s="412"/>
      <c r="F2" s="499"/>
      <c r="G2" s="500"/>
      <c r="H2" s="499"/>
      <c r="I2" s="499"/>
    </row>
    <row r="3" spans="1:9" ht="12.75">
      <c r="A3" s="686" t="str">
        <f>'[17]MEMÓRIA DE CÁLCULO ALTERADA'!A9:E9</f>
        <v>OBRA: REFORMA DE PRAÇA NO MUNICÍPIO DE NOVA OLINDA-PB                                                                                                                                             ART OBRA: PB20180169890</v>
      </c>
      <c r="B3" s="687"/>
      <c r="C3" s="687"/>
      <c r="D3" s="687"/>
      <c r="E3" s="687"/>
      <c r="F3" s="687"/>
      <c r="G3" s="688"/>
      <c r="H3" s="414"/>
      <c r="I3" s="414"/>
    </row>
    <row r="4" spans="1:9" ht="12.75">
      <c r="A4" s="686" t="s">
        <v>509</v>
      </c>
      <c r="B4" s="687"/>
      <c r="C4" s="687"/>
      <c r="D4" s="687"/>
      <c r="E4" s="687"/>
      <c r="F4" s="687"/>
      <c r="G4" s="688"/>
      <c r="H4" s="414"/>
      <c r="I4" s="414"/>
    </row>
    <row r="5" spans="1:9" ht="12.75">
      <c r="A5" s="501"/>
      <c r="B5" s="1"/>
      <c r="C5" s="1"/>
      <c r="D5" s="417"/>
      <c r="E5" s="707" t="s">
        <v>355</v>
      </c>
      <c r="F5" s="708"/>
      <c r="G5" s="709"/>
      <c r="H5" s="414"/>
      <c r="I5" s="414" t="e">
        <f>F11+F15+#REF!+#REF!+#REF!+#REF!+#REF!+#REF!</f>
        <v>#REF!</v>
      </c>
    </row>
    <row r="6" spans="1:9" ht="14.25" customHeight="1">
      <c r="A6" s="501" t="s">
        <v>356</v>
      </c>
      <c r="B6" s="282"/>
      <c r="C6" s="710" t="s">
        <v>357</v>
      </c>
      <c r="D6" s="710"/>
      <c r="E6" s="710"/>
      <c r="F6" s="417"/>
      <c r="G6" s="419"/>
      <c r="H6" s="417"/>
      <c r="I6" s="417"/>
    </row>
    <row r="7" spans="1:9" ht="14.25" customHeight="1">
      <c r="A7" s="502"/>
      <c r="B7" s="282"/>
      <c r="C7" s="283"/>
      <c r="D7" s="417"/>
      <c r="E7" s="417"/>
      <c r="F7" s="417"/>
      <c r="G7" s="419"/>
      <c r="H7" s="417"/>
      <c r="I7" s="417"/>
    </row>
    <row r="8" spans="1:9" ht="15.75">
      <c r="A8" s="711" t="s">
        <v>510</v>
      </c>
      <c r="B8" s="712"/>
      <c r="C8" s="712"/>
      <c r="D8" s="712"/>
      <c r="E8" s="712"/>
      <c r="F8" s="712"/>
      <c r="G8" s="713"/>
      <c r="H8" s="499"/>
      <c r="I8" s="499"/>
    </row>
    <row r="9" spans="1:9" ht="6.75" customHeight="1" thickBot="1">
      <c r="A9" s="502"/>
      <c r="B9" s="503"/>
      <c r="C9" s="5"/>
      <c r="D9" s="504"/>
      <c r="E9" s="504"/>
      <c r="F9" s="504"/>
      <c r="G9" s="505"/>
      <c r="H9" s="417"/>
      <c r="I9" s="417"/>
    </row>
    <row r="10" spans="1:9" ht="31.5">
      <c r="A10" s="506" t="s">
        <v>0</v>
      </c>
      <c r="B10" s="286" t="s">
        <v>25</v>
      </c>
      <c r="C10" s="286" t="s">
        <v>1</v>
      </c>
      <c r="D10" s="507" t="s">
        <v>2</v>
      </c>
      <c r="E10" s="508" t="s">
        <v>23</v>
      </c>
      <c r="F10" s="508" t="s">
        <v>24</v>
      </c>
      <c r="G10" s="509" t="s">
        <v>511</v>
      </c>
      <c r="H10" s="510" t="s">
        <v>28</v>
      </c>
      <c r="I10" s="510" t="s">
        <v>27</v>
      </c>
    </row>
    <row r="11" spans="1:10" ht="15.75">
      <c r="A11" s="511" t="s">
        <v>3</v>
      </c>
      <c r="B11" s="6" t="s">
        <v>21</v>
      </c>
      <c r="C11" s="7"/>
      <c r="D11" s="512"/>
      <c r="E11" s="512"/>
      <c r="F11" s="513">
        <f>ROUND(SUM(F12:F13),2)</f>
        <v>4356.54</v>
      </c>
      <c r="G11" s="514"/>
      <c r="H11" s="515"/>
      <c r="I11" s="516">
        <v>1.2586</v>
      </c>
      <c r="J11" s="517">
        <v>1.3</v>
      </c>
    </row>
    <row r="12" spans="1:33" s="523" customFormat="1" ht="30.75" customHeight="1">
      <c r="A12" s="518" t="s">
        <v>65</v>
      </c>
      <c r="B12" s="434" t="str">
        <f>'[17]MEMÓRIA DE CÁLCULO ALTERADA'!B18</f>
        <v>Locação da obra, com uso de equipamentos topográficos, inclusive nivelador</v>
      </c>
      <c r="C12" s="437" t="str">
        <f>'[17]MEMÓRIA DE CÁLCULO ALTERADA'!E18</f>
        <v>m²</v>
      </c>
      <c r="D12" s="442">
        <v>1406.95</v>
      </c>
      <c r="E12" s="436">
        <f>I12</f>
        <v>0.48</v>
      </c>
      <c r="F12" s="436">
        <f aca="true" t="shared" si="0" ref="F12:F13">IF(D12&gt;0,ROUND(D12*E12,2),)</f>
        <v>675.34</v>
      </c>
      <c r="G12" s="519" t="s">
        <v>512</v>
      </c>
      <c r="H12" s="520">
        <f>'[17]COMPOSIÇÕES DE PREÇOS UNIT. (2'!G32</f>
        <v>0.3886450000000001</v>
      </c>
      <c r="I12" s="521">
        <f>TRUNC(H12*$I$11,2)</f>
        <v>0.48</v>
      </c>
      <c r="J12" s="521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</row>
    <row r="13" spans="1:33" s="523" customFormat="1" ht="30.75" customHeight="1">
      <c r="A13" s="518" t="s">
        <v>154</v>
      </c>
      <c r="B13" s="434" t="str">
        <f>'[17]MEMÓRIA DE CÁLCULO ALTERADA'!B19</f>
        <v>Placa de obra em chapa de aço galvanizado (10,00 m²)</v>
      </c>
      <c r="C13" s="437" t="str">
        <f>'[17]MEMÓRIA DE CÁLCULO ALTERADA'!E19</f>
        <v>m²</v>
      </c>
      <c r="D13" s="442">
        <v>10</v>
      </c>
      <c r="E13" s="436">
        <f>I13</f>
        <v>368.12</v>
      </c>
      <c r="F13" s="436">
        <f t="shared" si="0"/>
        <v>3681.2</v>
      </c>
      <c r="G13" s="519" t="s">
        <v>62</v>
      </c>
      <c r="H13" s="520">
        <v>292.49</v>
      </c>
      <c r="I13" s="521">
        <f aca="true" t="shared" si="1" ref="I13:I76">TRUNC(H13*$I$11,2)</f>
        <v>368.12</v>
      </c>
      <c r="J13" s="521"/>
      <c r="K13" s="521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</row>
    <row r="14" spans="1:33" ht="12.75">
      <c r="A14" s="524"/>
      <c r="B14" s="525"/>
      <c r="C14" s="526"/>
      <c r="D14" s="465"/>
      <c r="E14" s="527"/>
      <c r="F14" s="527"/>
      <c r="G14" s="528"/>
      <c r="H14" s="529"/>
      <c r="I14" s="521">
        <f t="shared" si="1"/>
        <v>0</v>
      </c>
      <c r="J14" s="521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</row>
    <row r="15" spans="1:33" ht="15.75">
      <c r="A15" s="530" t="s">
        <v>4</v>
      </c>
      <c r="B15" s="6" t="s">
        <v>32</v>
      </c>
      <c r="C15" s="7"/>
      <c r="D15" s="8"/>
      <c r="E15" s="512"/>
      <c r="F15" s="9">
        <f>ROUND(SUM(F16:F17),2)</f>
        <v>759.75</v>
      </c>
      <c r="G15" s="37"/>
      <c r="H15" s="529"/>
      <c r="I15" s="521">
        <f t="shared" si="1"/>
        <v>0</v>
      </c>
      <c r="J15" s="521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</row>
    <row r="16" spans="1:33" s="533" customFormat="1" ht="31.5" customHeight="1">
      <c r="A16" s="531" t="s">
        <v>6</v>
      </c>
      <c r="B16" s="434" t="str">
        <f>'[17]MEMÓRIA DE CÁLCULO ALTERADA'!B22</f>
        <v>Regularização de superfícies em terra com motoniveladora</v>
      </c>
      <c r="C16" s="54" t="str">
        <f>'[17]MEMÓRIA DE CÁLCULO ALTERADA'!E22</f>
        <v>m²</v>
      </c>
      <c r="D16" s="457">
        <v>1406.95</v>
      </c>
      <c r="E16" s="461">
        <f aca="true" t="shared" si="2" ref="E16">I16</f>
        <v>0.54</v>
      </c>
      <c r="F16" s="56">
        <f aca="true" t="shared" si="3" ref="F16">IF(D16&gt;0,ROUND(D16*E16,2),)</f>
        <v>759.75</v>
      </c>
      <c r="G16" s="57">
        <v>55835</v>
      </c>
      <c r="H16" s="532">
        <v>0.43</v>
      </c>
      <c r="I16" s="521">
        <f t="shared" si="1"/>
        <v>0.54</v>
      </c>
      <c r="J16" s="521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</row>
    <row r="17" spans="1:10" ht="12.75">
      <c r="A17" s="534"/>
      <c r="B17" s="535"/>
      <c r="C17" s="526"/>
      <c r="D17" s="536"/>
      <c r="E17" s="527"/>
      <c r="F17" s="536"/>
      <c r="G17" s="537"/>
      <c r="H17" s="529"/>
      <c r="I17" s="521">
        <f t="shared" si="1"/>
        <v>0</v>
      </c>
      <c r="J17" s="521"/>
    </row>
    <row r="18" spans="1:10" ht="15.75">
      <c r="A18" s="530" t="s">
        <v>7</v>
      </c>
      <c r="B18" s="6" t="str">
        <f>'[17]MEMÓRIA DE CÁLCULO ALTERADA'!B24:E24</f>
        <v>ELEVAÇÃO</v>
      </c>
      <c r="C18" s="7"/>
      <c r="D18" s="8"/>
      <c r="E18" s="512"/>
      <c r="F18" s="9">
        <f>ROUND(SUM(F19:F20),2)</f>
        <v>3432.3</v>
      </c>
      <c r="G18" s="37"/>
      <c r="H18" s="529"/>
      <c r="I18" s="521">
        <f t="shared" si="1"/>
        <v>0</v>
      </c>
      <c r="J18" s="521"/>
    </row>
    <row r="19" spans="1:10" ht="42" customHeight="1">
      <c r="A19" s="538" t="s">
        <v>8</v>
      </c>
      <c r="B19" s="434" t="str">
        <f>'[17]MEMÓRIA DE CÁLCULO ALTERADA'!B25</f>
        <v xml:space="preserve">Preparo de fundo de vala com largura menor que 1,5 m, em local com nível baixo de interferência. </v>
      </c>
      <c r="C19" s="434" t="str">
        <f>'[17]MEMÓRIA DE CÁLCULO ALTERADA'!E25</f>
        <v>m²</v>
      </c>
      <c r="D19" s="457">
        <v>29.92</v>
      </c>
      <c r="E19" s="461">
        <f>I19</f>
        <v>4.49</v>
      </c>
      <c r="F19" s="56">
        <f aca="true" t="shared" si="4" ref="F19:F20">IF(D19&gt;0,ROUND(D19*E19,2),)</f>
        <v>134.34</v>
      </c>
      <c r="G19" s="539">
        <v>94097</v>
      </c>
      <c r="H19" s="529">
        <v>3.57</v>
      </c>
      <c r="I19" s="521">
        <f t="shared" si="1"/>
        <v>4.49</v>
      </c>
      <c r="J19" s="521"/>
    </row>
    <row r="20" spans="1:10" ht="67.5" customHeight="1">
      <c r="A20" s="538" t="s">
        <v>22</v>
      </c>
      <c r="B20" s="434" t="str">
        <f>'[17]MEMÓRIA DE CÁLCULO ALTERADA'!B26</f>
        <v>Alvenaria de vedação de blocos vazados de concreto de 9x19x39cm (espessura 9cm) de paredes com área líquida menor que 6m² sem vãos e argamassa de assentamento com preparo em betoneira.</v>
      </c>
      <c r="C20" s="434" t="str">
        <f>'[17]MEMÓRIA DE CÁLCULO ALTERADA'!E26</f>
        <v>m²</v>
      </c>
      <c r="D20" s="457">
        <v>61.98</v>
      </c>
      <c r="E20" s="461">
        <f aca="true" t="shared" si="5" ref="E20">I20</f>
        <v>53.21</v>
      </c>
      <c r="F20" s="56">
        <f t="shared" si="4"/>
        <v>3297.96</v>
      </c>
      <c r="G20" s="539">
        <v>87447</v>
      </c>
      <c r="H20" s="529">
        <v>42.28</v>
      </c>
      <c r="I20" s="521">
        <f t="shared" si="1"/>
        <v>53.21</v>
      </c>
      <c r="J20" s="521"/>
    </row>
    <row r="21" spans="1:10" ht="12.75">
      <c r="A21" s="534"/>
      <c r="B21" s="456"/>
      <c r="C21" s="54"/>
      <c r="D21" s="457"/>
      <c r="E21" s="461"/>
      <c r="F21" s="56"/>
      <c r="G21" s="57"/>
      <c r="H21" s="529"/>
      <c r="I21" s="521">
        <f t="shared" si="1"/>
        <v>0</v>
      </c>
      <c r="J21" s="521"/>
    </row>
    <row r="22" spans="1:10" ht="15.75">
      <c r="A22" s="530" t="s">
        <v>9</v>
      </c>
      <c r="B22" s="6" t="str">
        <f>'[17]MEMÓRIA DE CÁLCULO ALTERADA'!B28:E28</f>
        <v>ESTRUTURAS DE CONCRETO (MONUMENTOS)</v>
      </c>
      <c r="C22" s="7"/>
      <c r="D22" s="8"/>
      <c r="E22" s="512"/>
      <c r="F22" s="540">
        <f>ROUND(SUM(F23:F30),2)</f>
        <v>9629.88</v>
      </c>
      <c r="G22" s="37"/>
      <c r="H22" s="529"/>
      <c r="I22" s="521">
        <f t="shared" si="1"/>
        <v>0</v>
      </c>
      <c r="J22" s="521"/>
    </row>
    <row r="23" spans="1:10" ht="21.75" customHeight="1">
      <c r="A23" s="541" t="str">
        <f>'[17]MEMÓRIA DE CÁLCULO ALTERADA'!A29</f>
        <v>4.1</v>
      </c>
      <c r="B23" s="697" t="str">
        <f>'[17]MEMÓRIA DE CÁLCULO ALTERADA'!B29:C29</f>
        <v>Monumento 01</v>
      </c>
      <c r="C23" s="699"/>
      <c r="D23" s="699"/>
      <c r="E23" s="699"/>
      <c r="F23" s="699"/>
      <c r="G23" s="700"/>
      <c r="H23" s="529"/>
      <c r="I23" s="521">
        <f t="shared" si="1"/>
        <v>0</v>
      </c>
      <c r="J23" s="521"/>
    </row>
    <row r="24" spans="1:10" ht="66.75" customHeight="1">
      <c r="A24" s="541" t="str">
        <f>'[17]MEMÓRIA DE CÁLCULO ALTERADA'!A30</f>
        <v>4.1.1</v>
      </c>
      <c r="B24" s="434" t="str">
        <f>'[17]MEMÓRIA DE CÁLCULO ALTERADA'!B30</f>
        <v>Montagem e desmontagem de fôrma de pilares retangulares e estruturas similares com área média das seções maior que 0,25 m², pé-direito simples, em chapa de madeira compensada plastificada, 18 utilizações</v>
      </c>
      <c r="C24" s="437" t="str">
        <f>'[17]MEMÓRIA DE CÁLCULO ALTERADA'!E30</f>
        <v>m²</v>
      </c>
      <c r="D24" s="457">
        <v>50</v>
      </c>
      <c r="E24" s="461">
        <f aca="true" t="shared" si="6" ref="E24:E30">I24</f>
        <v>26.24</v>
      </c>
      <c r="F24" s="461">
        <f aca="true" t="shared" si="7" ref="F24:F30">IF(D24&gt;0,ROUND(D24*E24,2),)</f>
        <v>1312</v>
      </c>
      <c r="G24" s="539">
        <v>92443</v>
      </c>
      <c r="H24" s="529">
        <v>20.85</v>
      </c>
      <c r="I24" s="521">
        <f t="shared" si="1"/>
        <v>26.24</v>
      </c>
      <c r="J24" s="521"/>
    </row>
    <row r="25" spans="1:10" ht="55.5" customHeight="1">
      <c r="A25" s="541" t="str">
        <f>'[17]MEMÓRIA DE CÁLCULO ALTERADA'!A31</f>
        <v>4.1.2</v>
      </c>
      <c r="B25" s="434" t="str">
        <f>'[17]MEMÓRIA DE CÁLCULO ALTERADA'!B31</f>
        <v>Armação de pilar ou viga de uma estrutura convencional de concreto armado em uma edifícação térrea ou sobrado utilizando aço ca-50 de 10.0 mm</v>
      </c>
      <c r="C25" s="437" t="str">
        <f>'[17]MEMÓRIA DE CÁLCULO ALTERADA'!E31</f>
        <v>Kg</v>
      </c>
      <c r="D25" s="457">
        <v>369.21</v>
      </c>
      <c r="E25" s="461">
        <f t="shared" si="6"/>
        <v>8.72</v>
      </c>
      <c r="F25" s="461">
        <f t="shared" si="7"/>
        <v>3219.51</v>
      </c>
      <c r="G25" s="57">
        <v>92778</v>
      </c>
      <c r="H25" s="529">
        <v>6.93</v>
      </c>
      <c r="I25" s="521">
        <f t="shared" si="1"/>
        <v>8.72</v>
      </c>
      <c r="J25" s="521"/>
    </row>
    <row r="26" spans="1:10" ht="53.25" customHeight="1">
      <c r="A26" s="541" t="str">
        <f>'[17]MEMÓRIA DE CÁLCULO ALTERADA'!A32</f>
        <v>4.1.3</v>
      </c>
      <c r="B26" s="434" t="str">
        <f>'[17]MEMÓRIA DE CÁLCULO ALTERADA'!B32</f>
        <v>Armação de pilar ou viga de uma estrutura convencional de concreto armado em uma edifícação térrea ou sobrado utilizando aço ca-60 de 5.0 mm</v>
      </c>
      <c r="C26" s="437" t="str">
        <f>'[17]MEMÓRIA DE CÁLCULO ALTERADA'!E32</f>
        <v>Kg</v>
      </c>
      <c r="D26" s="457">
        <v>77.17</v>
      </c>
      <c r="E26" s="461">
        <f t="shared" si="6"/>
        <v>12.59</v>
      </c>
      <c r="F26" s="461">
        <f t="shared" si="7"/>
        <v>971.57</v>
      </c>
      <c r="G26" s="57">
        <v>92775</v>
      </c>
      <c r="H26" s="529">
        <v>10.01</v>
      </c>
      <c r="I26" s="521">
        <f t="shared" si="1"/>
        <v>12.59</v>
      </c>
      <c r="J26" s="521"/>
    </row>
    <row r="27" spans="1:10" ht="42.75" customHeight="1">
      <c r="A27" s="541" t="str">
        <f>'[17]MEMÓRIA DE CÁLCULO ALTERADA'!A33</f>
        <v>4.1.4</v>
      </c>
      <c r="B27" s="434" t="str">
        <f>'[17]MEMÓRIA DE CÁLCULO ALTERADA'!B33</f>
        <v>Concreto fck = 25mpa, traço 1:2,3:2,7 (cimento/ areia média/ brita 1) - preparo mecânico com betoneira 400 l.</v>
      </c>
      <c r="C27" s="437" t="str">
        <f>'[17]MEMÓRIA DE CÁLCULO ALTERADA'!E33</f>
        <v>m³</v>
      </c>
      <c r="D27" s="457">
        <v>5.18</v>
      </c>
      <c r="E27" s="461">
        <f t="shared" si="6"/>
        <v>341.04</v>
      </c>
      <c r="F27" s="461">
        <f t="shared" si="7"/>
        <v>1766.59</v>
      </c>
      <c r="G27" s="57">
        <v>94965</v>
      </c>
      <c r="H27" s="529">
        <v>270.97</v>
      </c>
      <c r="I27" s="521">
        <f t="shared" si="1"/>
        <v>341.04</v>
      </c>
      <c r="J27" s="521"/>
    </row>
    <row r="28" spans="1:10" ht="34.5" customHeight="1">
      <c r="A28" s="541" t="str">
        <f>'[17]MEMÓRIA DE CÁLCULO ALTERADA'!A34</f>
        <v>4.1.5</v>
      </c>
      <c r="B28" s="434" t="str">
        <f>'[17]MEMÓRIA DE CÁLCULO ALTERADA'!B34</f>
        <v>Lançamento/aplicação manual de concreto</v>
      </c>
      <c r="C28" s="437" t="str">
        <f>'[17]MEMÓRIA DE CÁLCULO ALTERADA'!E34</f>
        <v>m³</v>
      </c>
      <c r="D28" s="457">
        <v>5.18</v>
      </c>
      <c r="E28" s="461">
        <f t="shared" si="6"/>
        <v>98.01</v>
      </c>
      <c r="F28" s="461">
        <f t="shared" si="7"/>
        <v>507.69</v>
      </c>
      <c r="G28" s="57" t="s">
        <v>309</v>
      </c>
      <c r="H28" s="529">
        <v>77.88</v>
      </c>
      <c r="I28" s="521">
        <f t="shared" si="1"/>
        <v>98.01</v>
      </c>
      <c r="J28" s="521"/>
    </row>
    <row r="29" spans="1:10" ht="34.5" customHeight="1">
      <c r="A29" s="541" t="str">
        <f>'[17]MEMÓRIA DE CÁLCULO ALTERADA'!A35</f>
        <v>4.2</v>
      </c>
      <c r="B29" s="697" t="str">
        <f>'[17]MEMÓRIA DE CÁLCULO ALTERADA'!B35</f>
        <v>Monumento 02</v>
      </c>
      <c r="C29" s="699"/>
      <c r="D29" s="699"/>
      <c r="E29" s="699"/>
      <c r="F29" s="699"/>
      <c r="G29" s="700"/>
      <c r="H29" s="529"/>
      <c r="I29" s="521">
        <f t="shared" si="1"/>
        <v>0</v>
      </c>
      <c r="J29" s="521"/>
    </row>
    <row r="30" spans="1:10" ht="34.5" customHeight="1">
      <c r="A30" s="541" t="str">
        <f>'[17]MEMÓRIA DE CÁLCULO ALTERADA'!A36</f>
        <v>4.2.1</v>
      </c>
      <c r="B30" s="434" t="str">
        <f>'[17]MEMÓRIA DE CÁLCULO ALTERADA'!B36</f>
        <v>Monumento com nome da cidade, feito em concreto armado</v>
      </c>
      <c r="C30" s="437" t="str">
        <f>'[17]MEMÓRIA DE CÁLCULO ALTERADA'!E34</f>
        <v>m³</v>
      </c>
      <c r="D30" s="457">
        <v>1</v>
      </c>
      <c r="E30" s="461">
        <f t="shared" si="6"/>
        <v>1852.52</v>
      </c>
      <c r="F30" s="461">
        <f t="shared" si="7"/>
        <v>1852.52</v>
      </c>
      <c r="G30" s="57" t="s">
        <v>513</v>
      </c>
      <c r="H30" s="529">
        <f>'[17]COMPOSIÇÕES DE PREÇOS UNIT. (2'!G215</f>
        <v>1471.89384</v>
      </c>
      <c r="I30" s="521">
        <f t="shared" si="1"/>
        <v>1852.52</v>
      </c>
      <c r="J30" s="521"/>
    </row>
    <row r="31" spans="1:10" ht="12.75">
      <c r="A31" s="534"/>
      <c r="B31" s="456"/>
      <c r="C31" s="54"/>
      <c r="D31" s="457"/>
      <c r="E31" s="461"/>
      <c r="F31" s="461"/>
      <c r="G31" s="542"/>
      <c r="H31" s="529"/>
      <c r="I31" s="521">
        <f t="shared" si="1"/>
        <v>0</v>
      </c>
      <c r="J31" s="521"/>
    </row>
    <row r="32" spans="1:10" ht="15.75">
      <c r="A32" s="511" t="s">
        <v>11</v>
      </c>
      <c r="B32" s="6" t="str">
        <f>'[17]MEMÓRIA DE CÁLCULO ALTERADA'!B38:C38</f>
        <v>PAVIMENTAÇÃO E PISO</v>
      </c>
      <c r="C32" s="6"/>
      <c r="D32" s="6"/>
      <c r="E32" s="6"/>
      <c r="F32" s="513">
        <f>ROUND(SUM(F33:F38),2)</f>
        <v>96569.51</v>
      </c>
      <c r="G32" s="543"/>
      <c r="H32" s="529"/>
      <c r="I32" s="521">
        <f t="shared" si="1"/>
        <v>0</v>
      </c>
      <c r="J32" s="521"/>
    </row>
    <row r="33" spans="1:10" ht="39" customHeight="1">
      <c r="A33" s="531" t="str">
        <f>'[17]MEMÓRIA DE CÁLCULO ALTERADA'!A39</f>
        <v>5.1</v>
      </c>
      <c r="B33" s="434" t="str">
        <f>'[17]MEMÓRIA DE CÁLCULO ALTERADA'!B39</f>
        <v>Lastro de concreto magro, aplicado em pisos ou radiers, espessura de 5cm.</v>
      </c>
      <c r="C33" s="54" t="str">
        <f>'[17]MEMÓRIA DE CÁLCULO ALTERADA'!E39</f>
        <v>m²</v>
      </c>
      <c r="D33" s="457">
        <v>167.52</v>
      </c>
      <c r="E33" s="461">
        <f>I33</f>
        <v>21.39</v>
      </c>
      <c r="F33" s="461">
        <f aca="true" t="shared" si="8" ref="F33:F38">IF(D33&gt;0,ROUND(D33*E33,2),)</f>
        <v>3583.25</v>
      </c>
      <c r="G33" s="57">
        <v>95241</v>
      </c>
      <c r="H33" s="529">
        <v>17</v>
      </c>
      <c r="I33" s="521">
        <f t="shared" si="1"/>
        <v>21.39</v>
      </c>
      <c r="J33" s="521"/>
    </row>
    <row r="34" spans="1:10" ht="53.25" customHeight="1">
      <c r="A34" s="531" t="str">
        <f>'[17]MEMÓRIA DE CÁLCULO ALTERADA'!A40</f>
        <v>5.2</v>
      </c>
      <c r="B34" s="434" t="str">
        <f>'[17]MEMÓRIA DE CÁLCULO ALTERADA'!B40</f>
        <v>Contrapiso em argamassa traço 1:4 (cimento e areia), preparo mecânico com betoneira 400 L, aderido, espessura 3 cm, acabamento reforçado</v>
      </c>
      <c r="C34" s="54" t="str">
        <f>'[17]MEMÓRIA DE CÁLCULO ALTERADA'!E40</f>
        <v>m²</v>
      </c>
      <c r="D34" s="457">
        <v>167.52</v>
      </c>
      <c r="E34" s="461">
        <f aca="true" t="shared" si="9" ref="E34:E38">I34</f>
        <v>36.31</v>
      </c>
      <c r="F34" s="461">
        <f t="shared" si="8"/>
        <v>6082.65</v>
      </c>
      <c r="G34" s="57">
        <v>87632</v>
      </c>
      <c r="H34" s="529">
        <v>28.85</v>
      </c>
      <c r="I34" s="521">
        <f t="shared" si="1"/>
        <v>36.31</v>
      </c>
      <c r="J34" s="521"/>
    </row>
    <row r="35" spans="1:10" ht="43.5" customHeight="1">
      <c r="A35" s="531" t="str">
        <f>'[17]MEMÓRIA DE CÁLCULO ALTERADA'!A41</f>
        <v>5.3</v>
      </c>
      <c r="B35" s="434" t="str">
        <f>'[17]MEMÓRIA DE CÁLCULO ALTERADA'!B41</f>
        <v xml:space="preserve">Revestimento cerâmico para piso com placas tipo porcelanato de dimensões 60x60 cm </v>
      </c>
      <c r="C35" s="54" t="str">
        <f>'[17]MEMÓRIA DE CÁLCULO ALTERADA'!E41</f>
        <v>m²</v>
      </c>
      <c r="D35" s="457">
        <v>167.52</v>
      </c>
      <c r="E35" s="461">
        <f t="shared" si="9"/>
        <v>112.59</v>
      </c>
      <c r="F35" s="461">
        <f t="shared" si="8"/>
        <v>18861.08</v>
      </c>
      <c r="G35" s="57">
        <v>87263</v>
      </c>
      <c r="H35" s="529">
        <v>89.46</v>
      </c>
      <c r="I35" s="521">
        <f t="shared" si="1"/>
        <v>112.59</v>
      </c>
      <c r="J35" s="521"/>
    </row>
    <row r="36" spans="1:10" ht="43.5" customHeight="1">
      <c r="A36" s="531" t="str">
        <f>'[17]MEMÓRIA DE CÁLCULO ALTERADA'!A42</f>
        <v>5.4</v>
      </c>
      <c r="B36" s="434" t="str">
        <f>'[17]MEMÓRIA DE CÁLCULO ALTERADA'!B42</f>
        <v xml:space="preserve">Execução de pavimento em piso intertravado, cor natural, espessura 6 cm. </v>
      </c>
      <c r="C36" s="54" t="str">
        <f>'[17]MEMÓRIA DE CÁLCULO ALTERADA'!E42</f>
        <v>m²</v>
      </c>
      <c r="D36" s="457">
        <v>620.81</v>
      </c>
      <c r="E36" s="461">
        <f t="shared" si="9"/>
        <v>57.97</v>
      </c>
      <c r="F36" s="461">
        <f t="shared" si="8"/>
        <v>35988.36</v>
      </c>
      <c r="G36" s="57" t="s">
        <v>513</v>
      </c>
      <c r="H36" s="529">
        <f>'[17]COMPOSIÇÕES DE PREÇOS UNIT. (2'!G150</f>
        <v>46.05952</v>
      </c>
      <c r="I36" s="521">
        <f t="shared" si="1"/>
        <v>57.97</v>
      </c>
      <c r="J36" s="521"/>
    </row>
    <row r="37" spans="1:10" ht="43.5" customHeight="1">
      <c r="A37" s="531" t="str">
        <f>'[17]MEMÓRIA DE CÁLCULO ALTERADA'!A43</f>
        <v>5.5</v>
      </c>
      <c r="B37" s="434" t="str">
        <f>'[17]MEMÓRIA DE CÁLCULO ALTERADA'!B43</f>
        <v xml:space="preserve">Execução de pavimento em piso intertravado, cor natural, espessura 6 cm. </v>
      </c>
      <c r="C37" s="54" t="str">
        <f>'[17]MEMÓRIA DE CÁLCULO ALTERADA'!E43</f>
        <v>m²</v>
      </c>
      <c r="D37" s="457">
        <v>347.1</v>
      </c>
      <c r="E37" s="461">
        <f t="shared" si="9"/>
        <v>57.97</v>
      </c>
      <c r="F37" s="461">
        <f t="shared" si="8"/>
        <v>20121.39</v>
      </c>
      <c r="G37" s="57" t="s">
        <v>513</v>
      </c>
      <c r="H37" s="529">
        <f>'[17]COMPOSIÇÕES DE PREÇOS UNIT. (2'!G150</f>
        <v>46.05952</v>
      </c>
      <c r="I37" s="521">
        <f t="shared" si="1"/>
        <v>57.97</v>
      </c>
      <c r="J37" s="521"/>
    </row>
    <row r="38" spans="1:10" ht="72.75" customHeight="1">
      <c r="A38" s="531" t="str">
        <f>'[17]MEMÓRIA DE CÁLCULO ALTERADA'!A44</f>
        <v>5.6</v>
      </c>
      <c r="B38" s="434" t="str">
        <f>'[17]MEMÓRIA DE CÁLCULO ALTERADA'!B44</f>
        <v xml:space="preserve">Assentamento de guia (meio-fio) em trecho reto, confeccionada em concreto pré-fabricado, dimensões 100x15x13x30 cm (comprimento x base inferior x base superior x altura), para vias urbanas (uso viário). </v>
      </c>
      <c r="C38" s="54" t="str">
        <f>'[17]MEMÓRIA DE CÁLCULO ALTERADA'!E44</f>
        <v>m</v>
      </c>
      <c r="D38" s="457">
        <v>319.4</v>
      </c>
      <c r="E38" s="461">
        <f t="shared" si="9"/>
        <v>37.36</v>
      </c>
      <c r="F38" s="461">
        <f t="shared" si="8"/>
        <v>11932.78</v>
      </c>
      <c r="G38" s="57">
        <v>94273</v>
      </c>
      <c r="H38" s="529">
        <v>29.69</v>
      </c>
      <c r="I38" s="521">
        <f t="shared" si="1"/>
        <v>37.36</v>
      </c>
      <c r="J38" s="521"/>
    </row>
    <row r="39" spans="1:10" ht="12.75">
      <c r="A39" s="534"/>
      <c r="B39" s="456"/>
      <c r="C39" s="54"/>
      <c r="D39" s="457"/>
      <c r="E39" s="461"/>
      <c r="F39" s="461"/>
      <c r="G39" s="57"/>
      <c r="H39" s="529"/>
      <c r="I39" s="521">
        <f t="shared" si="1"/>
        <v>0</v>
      </c>
      <c r="J39" s="521"/>
    </row>
    <row r="40" spans="1:10" ht="15.75">
      <c r="A40" s="511" t="str">
        <f>'[17]MEMÓRIA DE CÁLCULO ALTERADA'!A46</f>
        <v>6.0</v>
      </c>
      <c r="B40" s="6" t="str">
        <f>'[17]MEMÓRIA DE CÁLCULO ALTERADA'!B46:E46</f>
        <v>INSTALAÇÕES ELÉTRICAS</v>
      </c>
      <c r="C40" s="6"/>
      <c r="D40" s="6"/>
      <c r="E40" s="6"/>
      <c r="F40" s="513">
        <f>ROUND(SUM(F41:F56),2)</f>
        <v>46911.65</v>
      </c>
      <c r="G40" s="543"/>
      <c r="H40" s="529"/>
      <c r="I40" s="521">
        <f t="shared" si="1"/>
        <v>0</v>
      </c>
      <c r="J40" s="521"/>
    </row>
    <row r="41" spans="1:10" ht="58.5" customHeight="1">
      <c r="A41" s="531" t="str">
        <f>'[17]MEMÓRIA DE CÁLCULO ALTERADA'!A47</f>
        <v>6.1</v>
      </c>
      <c r="B41" s="434" t="str">
        <f>'[17]MEMÓRIA DE CÁLCULO ALTERADA'!B47</f>
        <v>ENTRADA DE ENERGIA ELÉTRICA AÉREA MONOFÁSICA 50A COM POSTE DE CONCRETO, INCLUSIVE CABEAMENTO, CAIXA DE PROTEÇÃO PARA MEDIDOR E ATERRAMENTO.</v>
      </c>
      <c r="C41" s="544" t="str">
        <f>'[17]MEMÓRIA DE CÁLCULO ALTERADA'!E47</f>
        <v>und</v>
      </c>
      <c r="D41" s="449">
        <v>1</v>
      </c>
      <c r="E41" s="461">
        <f>I41</f>
        <v>1059.67</v>
      </c>
      <c r="F41" s="461">
        <f aca="true" t="shared" si="10" ref="F41:F56">IF(D41&gt;0,ROUND(D41*E41,2),)</f>
        <v>1059.67</v>
      </c>
      <c r="G41" s="57">
        <v>9540</v>
      </c>
      <c r="H41" s="529">
        <v>841.95</v>
      </c>
      <c r="I41" s="521">
        <f t="shared" si="1"/>
        <v>1059.67</v>
      </c>
      <c r="J41" s="521"/>
    </row>
    <row r="42" spans="1:10" ht="42" customHeight="1">
      <c r="A42" s="531" t="str">
        <f>'[17]MEMÓRIA DE CÁLCULO ALTERADA'!A48</f>
        <v>6.2</v>
      </c>
      <c r="B42" s="434" t="str">
        <f>'[17]MEMÓRIA DE CÁLCULO ALTERADA'!B48</f>
        <v>Quadro de medição de embutir - Conj. 1 medidor bifásico e 1 trifásico</v>
      </c>
      <c r="C42" s="544" t="str">
        <f>'[17]MEMÓRIA DE CÁLCULO ALTERADA'!E48</f>
        <v>und</v>
      </c>
      <c r="D42" s="449">
        <v>1</v>
      </c>
      <c r="E42" s="461">
        <f aca="true" t="shared" si="11" ref="E42:E56">I42</f>
        <v>333.99</v>
      </c>
      <c r="F42" s="461">
        <f t="shared" si="10"/>
        <v>333.99</v>
      </c>
      <c r="G42" s="545" t="s">
        <v>513</v>
      </c>
      <c r="H42" s="529">
        <f>'[17]COMPOSIÇÕES DE PREÇOS UNIT. (2'!G275</f>
        <v>265.371</v>
      </c>
      <c r="I42" s="521">
        <f t="shared" si="1"/>
        <v>333.99</v>
      </c>
      <c r="J42" s="521"/>
    </row>
    <row r="43" spans="1:10" ht="53.25" customHeight="1">
      <c r="A43" s="531" t="str">
        <f>'[17]MEMÓRIA DE CÁLCULO ALTERADA'!A49</f>
        <v>6.3</v>
      </c>
      <c r="B43" s="434" t="str">
        <f>'[17]MEMÓRIA DE CÁLCULO ALTERADA'!B49</f>
        <v>Quadro de distribuicao de energia de embutir, em chapa metalica, para 18 disjuntores termomagneticos monopolares, com barramento trifasico e Neutro, fornecimento e instalacao</v>
      </c>
      <c r="C43" s="544" t="str">
        <f>'[17]MEMÓRIA DE CÁLCULO ALTERADA'!E49</f>
        <v>und</v>
      </c>
      <c r="D43" s="449">
        <v>1</v>
      </c>
      <c r="E43" s="461">
        <f t="shared" si="11"/>
        <v>491.99</v>
      </c>
      <c r="F43" s="461">
        <f t="shared" si="10"/>
        <v>491.99</v>
      </c>
      <c r="G43" s="57" t="s">
        <v>514</v>
      </c>
      <c r="H43" s="529">
        <v>390.91</v>
      </c>
      <c r="I43" s="521">
        <f t="shared" si="1"/>
        <v>491.99</v>
      </c>
      <c r="J43" s="521"/>
    </row>
    <row r="44" spans="1:10" ht="40.5" customHeight="1">
      <c r="A44" s="531" t="str">
        <f>'[17]MEMÓRIA DE CÁLCULO ALTERADA'!A50</f>
        <v>6.4</v>
      </c>
      <c r="B44" s="434" t="str">
        <f>'[17]MEMÓRIA DE CÁLCULO ALTERADA'!B50</f>
        <v>Disjuntor termomagnético monopolar padrão nema 10 a 30A 240V, fornecimento e instalação</v>
      </c>
      <c r="C44" s="544" t="str">
        <f>'[17]MEMÓRIA DE CÁLCULO ALTERADA'!E50</f>
        <v>und</v>
      </c>
      <c r="D44" s="449">
        <v>6</v>
      </c>
      <c r="E44" s="461">
        <f t="shared" si="11"/>
        <v>14.93</v>
      </c>
      <c r="F44" s="461">
        <f t="shared" si="10"/>
        <v>89.58</v>
      </c>
      <c r="G44" s="57" t="s">
        <v>515</v>
      </c>
      <c r="H44" s="529">
        <v>11.87</v>
      </c>
      <c r="I44" s="521">
        <f t="shared" si="1"/>
        <v>14.93</v>
      </c>
      <c r="J44" s="521"/>
    </row>
    <row r="45" spans="1:10" ht="40.5" customHeight="1">
      <c r="A45" s="531" t="str">
        <f>'[17]MEMÓRIA DE CÁLCULO ALTERADA'!A51</f>
        <v>6.5</v>
      </c>
      <c r="B45" s="434" t="str">
        <f>'[17]MEMÓRIA DE CÁLCULO ALTERADA'!B51</f>
        <v>Tomada baixa de embutir (1 módulo), 2p+t 10 a, incluindo suporte e placa - fornecimento e instalação.</v>
      </c>
      <c r="C45" s="544" t="str">
        <f>'[17]MEMÓRIA DE CÁLCULO ALTERADA'!E51</f>
        <v>und</v>
      </c>
      <c r="D45" s="449">
        <v>1</v>
      </c>
      <c r="E45" s="461">
        <f t="shared" si="11"/>
        <v>20.55</v>
      </c>
      <c r="F45" s="461">
        <f t="shared" si="10"/>
        <v>20.55</v>
      </c>
      <c r="G45" s="57">
        <v>92000</v>
      </c>
      <c r="H45" s="529">
        <v>16.33</v>
      </c>
      <c r="I45" s="521">
        <f t="shared" si="1"/>
        <v>20.55</v>
      </c>
      <c r="J45" s="521"/>
    </row>
    <row r="46" spans="1:10" ht="40.5" customHeight="1">
      <c r="A46" s="531" t="str">
        <f>'[17]MEMÓRIA DE CÁLCULO ALTERADA'!A52</f>
        <v>6.6</v>
      </c>
      <c r="B46" s="434" t="str">
        <f>'[17]MEMÓRIA DE CÁLCULO ALTERADA'!B52</f>
        <v>Caixa retangular 4" x 2" média (1,30 m do piso), pvc, instalada em parede - fornecimento e instalação.</v>
      </c>
      <c r="C46" s="544" t="str">
        <f>'[17]MEMÓRIA DE CÁLCULO ALTERADA'!E52</f>
        <v>und</v>
      </c>
      <c r="D46" s="449">
        <v>11</v>
      </c>
      <c r="E46" s="461">
        <f t="shared" si="11"/>
        <v>10.28</v>
      </c>
      <c r="F46" s="461">
        <f t="shared" si="10"/>
        <v>113.08</v>
      </c>
      <c r="G46" s="57">
        <v>91940</v>
      </c>
      <c r="H46" s="529">
        <v>8.17</v>
      </c>
      <c r="I46" s="521">
        <f t="shared" si="1"/>
        <v>10.28</v>
      </c>
      <c r="J46" s="521"/>
    </row>
    <row r="47" spans="1:10" ht="30.75" customHeight="1">
      <c r="A47" s="531" t="str">
        <f>'[17]MEMÓRIA DE CÁLCULO ALTERADA'!A53</f>
        <v>6.7</v>
      </c>
      <c r="B47" s="434" t="str">
        <f>'[17]MEMÓRIA DE CÁLCULO ALTERADA'!B53</f>
        <v>Caixa de Passagem de embutir, 150X150X75mm com tampa</v>
      </c>
      <c r="C47" s="544" t="str">
        <f>'[17]MEMÓRIA DE CÁLCULO ALTERADA'!E53</f>
        <v>und</v>
      </c>
      <c r="D47" s="449">
        <v>12</v>
      </c>
      <c r="E47" s="461">
        <f t="shared" si="11"/>
        <v>43.2</v>
      </c>
      <c r="F47" s="461">
        <f t="shared" si="10"/>
        <v>518.4</v>
      </c>
      <c r="G47" s="57" t="s">
        <v>513</v>
      </c>
      <c r="H47" s="529">
        <f>'[17]COMPOSIÇÕES DE PREÇOS UNIT. (2'!G250</f>
        <v>34.324</v>
      </c>
      <c r="I47" s="521">
        <f t="shared" si="1"/>
        <v>43.2</v>
      </c>
      <c r="J47" s="521"/>
    </row>
    <row r="48" spans="1:10" ht="40.5" customHeight="1">
      <c r="A48" s="531" t="str">
        <f>'[17]MEMÓRIA DE CÁLCULO ALTERADA'!A54</f>
        <v>6.8</v>
      </c>
      <c r="B48" s="434" t="str">
        <f>'[17]MEMÓRIA DE CÁLCULO ALTERADA'!B54</f>
        <v>Relé Fotoelétrico para comando de iluminação externa 220V/1000W - fornecimento e instalação</v>
      </c>
      <c r="C48" s="544" t="str">
        <f>'[17]MEMÓRIA DE CÁLCULO ALTERADA'!E54</f>
        <v>und</v>
      </c>
      <c r="D48" s="449">
        <v>11</v>
      </c>
      <c r="E48" s="461">
        <f t="shared" si="11"/>
        <v>28.22</v>
      </c>
      <c r="F48" s="461">
        <f t="shared" si="10"/>
        <v>310.42</v>
      </c>
      <c r="G48" s="57" t="s">
        <v>513</v>
      </c>
      <c r="H48" s="529">
        <f>'[17]COMPOSIÇÕES DE PREÇOS UNIT. (2'!G291</f>
        <v>22.429000000000002</v>
      </c>
      <c r="I48" s="521">
        <f t="shared" si="1"/>
        <v>28.22</v>
      </c>
      <c r="J48" s="521"/>
    </row>
    <row r="49" spans="1:10" ht="40.5" customHeight="1">
      <c r="A49" s="531" t="str">
        <f>'[17]MEMÓRIA DE CÁLCULO ALTERADA'!A55</f>
        <v>6.9</v>
      </c>
      <c r="B49" s="434" t="str">
        <f>'[17]MEMÓRIA DE CÁLCULO ALTERADA'!B55</f>
        <v>Cabo de cobre flexível isolado, 2,5 mm², anti-chama 450/750 v, para circuitos terminais - fornecimento e instalação.</v>
      </c>
      <c r="C49" s="544" t="str">
        <f>'[17]MEMÓRIA DE CÁLCULO ALTERADA'!E55</f>
        <v>m</v>
      </c>
      <c r="D49" s="449">
        <v>1238</v>
      </c>
      <c r="E49" s="461">
        <f t="shared" si="11"/>
        <v>2.63</v>
      </c>
      <c r="F49" s="461">
        <f t="shared" si="10"/>
        <v>3255.94</v>
      </c>
      <c r="G49" s="57">
        <v>91926</v>
      </c>
      <c r="H49" s="529">
        <v>2.09</v>
      </c>
      <c r="I49" s="521">
        <f t="shared" si="1"/>
        <v>2.63</v>
      </c>
      <c r="J49" s="521"/>
    </row>
    <row r="50" spans="1:10" ht="40.5" customHeight="1">
      <c r="A50" s="531" t="str">
        <f>'[17]MEMÓRIA DE CÁLCULO ALTERADA'!A56</f>
        <v>6.10</v>
      </c>
      <c r="B50" s="434" t="str">
        <f>'[17]MEMÓRIA DE CÁLCULO ALTERADA'!B56</f>
        <v>Cabo de cobre flexível isolado, 10 mm², anti-chama 450/750 v, para circuitos terminais - fornecimento e instalação.</v>
      </c>
      <c r="C50" s="544" t="str">
        <f>'[17]MEMÓRIA DE CÁLCULO ALTERADA'!E56</f>
        <v>m</v>
      </c>
      <c r="D50" s="449">
        <v>84.8</v>
      </c>
      <c r="E50" s="461">
        <f t="shared" si="11"/>
        <v>9.43</v>
      </c>
      <c r="F50" s="461">
        <f t="shared" si="10"/>
        <v>799.66</v>
      </c>
      <c r="G50" s="57">
        <v>91932</v>
      </c>
      <c r="H50" s="529">
        <v>7.5</v>
      </c>
      <c r="I50" s="521">
        <f t="shared" si="1"/>
        <v>9.43</v>
      </c>
      <c r="J50" s="521"/>
    </row>
    <row r="51" spans="1:10" ht="40.5" customHeight="1">
      <c r="A51" s="531" t="str">
        <f>'[17]MEMÓRIA DE CÁLCULO ALTERADA'!A57</f>
        <v>6.11</v>
      </c>
      <c r="B51" s="434" t="str">
        <f>'[17]MEMÓRIA DE CÁLCULO ALTERADA'!B57</f>
        <v>Eletroduto leve PVC flexível DN 20 MM (3/4") inclusive conexoes, fornecimento e instalação</v>
      </c>
      <c r="C51" s="544" t="str">
        <f>'[17]MEMÓRIA DE CÁLCULO ALTERADA'!E57</f>
        <v>m</v>
      </c>
      <c r="D51" s="449">
        <v>397.3</v>
      </c>
      <c r="E51" s="461">
        <f t="shared" si="11"/>
        <v>5.1</v>
      </c>
      <c r="F51" s="461">
        <f t="shared" si="10"/>
        <v>2026.23</v>
      </c>
      <c r="G51" s="57">
        <v>91866</v>
      </c>
      <c r="H51" s="529">
        <v>4.06</v>
      </c>
      <c r="I51" s="521">
        <f t="shared" si="1"/>
        <v>5.1</v>
      </c>
      <c r="J51" s="521"/>
    </row>
    <row r="52" spans="1:10" ht="22.5" customHeight="1">
      <c r="A52" s="531" t="str">
        <f>'[17]MEMÓRIA DE CÁLCULO ALTERADA'!A58</f>
        <v>6.12</v>
      </c>
      <c r="B52" s="434" t="str">
        <f>'[17]MEMÓRIA DE CÁLCULO ALTERADA'!B58</f>
        <v>Luminária para iluminação pública LED 150w</v>
      </c>
      <c r="C52" s="544" t="str">
        <f>'[17]MEMÓRIA DE CÁLCULO ALTERADA'!E58</f>
        <v>und</v>
      </c>
      <c r="D52" s="449">
        <v>22</v>
      </c>
      <c r="E52" s="461">
        <f t="shared" si="11"/>
        <v>1065.9</v>
      </c>
      <c r="F52" s="461">
        <f t="shared" si="10"/>
        <v>23449.8</v>
      </c>
      <c r="G52" s="57" t="s">
        <v>513</v>
      </c>
      <c r="H52" s="529">
        <v>846.9</v>
      </c>
      <c r="I52" s="521">
        <f t="shared" si="1"/>
        <v>1065.9</v>
      </c>
      <c r="J52" s="521"/>
    </row>
    <row r="53" spans="1:10" ht="40.5" customHeight="1">
      <c r="A53" s="531" t="str">
        <f>'[17]MEMÓRIA DE CÁLCULO ALTERADA'!A59</f>
        <v>6.13</v>
      </c>
      <c r="B53" s="434" t="str">
        <f>'[17]MEMÓRIA DE CÁLCULO ALTERADA'!B59</f>
        <v>Poste concreto seção circular comprimento=9M, carga nominal no topo 300 kg - Inclusive escavação, fornecimento e colocação</v>
      </c>
      <c r="C53" s="544" t="str">
        <f>'[17]MEMÓRIA DE CÁLCULO ALTERADA'!E59</f>
        <v>und</v>
      </c>
      <c r="D53" s="449">
        <v>11</v>
      </c>
      <c r="E53" s="461">
        <f t="shared" si="11"/>
        <v>1010.45</v>
      </c>
      <c r="F53" s="461">
        <f t="shared" si="10"/>
        <v>11114.95</v>
      </c>
      <c r="G53" s="57" t="s">
        <v>516</v>
      </c>
      <c r="H53" s="529">
        <v>802.84</v>
      </c>
      <c r="I53" s="521">
        <f t="shared" si="1"/>
        <v>1010.45</v>
      </c>
      <c r="J53" s="521"/>
    </row>
    <row r="54" spans="1:10" ht="59.25" customHeight="1">
      <c r="A54" s="531" t="str">
        <f>'[17]MEMÓRIA DE CÁLCULO ALTERADA'!A60</f>
        <v>6.14</v>
      </c>
      <c r="B54" s="434" t="str">
        <f>'[17]MEMÓRIA DE CÁLCULO ALTERADA'!B60</f>
        <v>Braço p/ iluminacao de ruas em tubo aco galv 1" comp = 1,20m e inclinacao 25graus em relacao ao plano vertical p/ fixacao em poste ou parede - fornecimento e instalacao</v>
      </c>
      <c r="C54" s="544" t="str">
        <f>'[17]MEMÓRIA DE CÁLCULO ALTERADA'!E60</f>
        <v>und</v>
      </c>
      <c r="D54" s="449">
        <v>22</v>
      </c>
      <c r="E54" s="461">
        <f t="shared" si="11"/>
        <v>97.61</v>
      </c>
      <c r="F54" s="461">
        <f t="shared" si="10"/>
        <v>2147.42</v>
      </c>
      <c r="G54" s="57">
        <v>83400</v>
      </c>
      <c r="H54" s="529">
        <v>77.56</v>
      </c>
      <c r="I54" s="521">
        <f t="shared" si="1"/>
        <v>97.61</v>
      </c>
      <c r="J54" s="521"/>
    </row>
    <row r="55" spans="1:10" ht="40.5" customHeight="1">
      <c r="A55" s="531" t="str">
        <f>'[17]MEMÓRIA DE CÁLCULO ALTERADA'!A61</f>
        <v>6.15</v>
      </c>
      <c r="B55" s="434" t="str">
        <f>'[17]MEMÓRIA DE CÁLCULO ALTERADA'!B61</f>
        <v>Caixa octogonal de fundo movel, em pvc, de 3" x 3", para eletroduto flexivel corrugado</v>
      </c>
      <c r="C55" s="544" t="str">
        <f>'[17]MEMÓRIA DE CÁLCULO ALTERADA'!E61</f>
        <v>und</v>
      </c>
      <c r="D55" s="449">
        <v>33</v>
      </c>
      <c r="E55" s="461">
        <f t="shared" si="11"/>
        <v>7.51</v>
      </c>
      <c r="F55" s="461">
        <f t="shared" si="10"/>
        <v>247.83</v>
      </c>
      <c r="G55" s="57">
        <v>91937</v>
      </c>
      <c r="H55" s="529">
        <v>5.97</v>
      </c>
      <c r="I55" s="521">
        <f t="shared" si="1"/>
        <v>7.51</v>
      </c>
      <c r="J55" s="521"/>
    </row>
    <row r="56" spans="1:10" ht="40.5" customHeight="1">
      <c r="A56" s="531" t="str">
        <f>'[17]MEMÓRIA DE CÁLCULO ALTERADA'!A62</f>
        <v>6.16</v>
      </c>
      <c r="B56" s="434" t="str">
        <f>'[17]MEMÓRIA DE CÁLCULO ALTERADA'!B62</f>
        <v>Spot Balizador Led 5w Piso Jardim Bivolt</v>
      </c>
      <c r="C56" s="544" t="str">
        <f>'[17]MEMÓRIA DE CÁLCULO ALTERADA'!E62</f>
        <v>und</v>
      </c>
      <c r="D56" s="449">
        <v>11</v>
      </c>
      <c r="E56" s="461">
        <f t="shared" si="11"/>
        <v>84.74</v>
      </c>
      <c r="F56" s="461">
        <f t="shared" si="10"/>
        <v>932.14</v>
      </c>
      <c r="G56" s="57" t="s">
        <v>513</v>
      </c>
      <c r="H56" s="529">
        <v>67.33</v>
      </c>
      <c r="I56" s="521">
        <f t="shared" si="1"/>
        <v>84.74</v>
      </c>
      <c r="J56" s="521"/>
    </row>
    <row r="57" spans="1:10" ht="12.75">
      <c r="A57" s="534"/>
      <c r="B57" s="456"/>
      <c r="C57" s="54"/>
      <c r="D57" s="457"/>
      <c r="E57" s="461"/>
      <c r="F57" s="461"/>
      <c r="G57" s="57"/>
      <c r="H57" s="529"/>
      <c r="I57" s="521">
        <f t="shared" si="1"/>
        <v>0</v>
      </c>
      <c r="J57" s="521"/>
    </row>
    <row r="58" spans="1:10" ht="20.25" customHeight="1">
      <c r="A58" s="530" t="str">
        <f>'[17]MEMÓRIA DE CÁLCULO ALTERADA'!A64</f>
        <v>7.0</v>
      </c>
      <c r="B58" s="6" t="str">
        <f>'[17]MEMÓRIA DE CÁLCULO ALTERADA'!B64:E64</f>
        <v>INSTALAÇÕES HIDRÁULICAS</v>
      </c>
      <c r="C58" s="7"/>
      <c r="D58" s="8"/>
      <c r="E58" s="512"/>
      <c r="F58" s="9">
        <f>ROUND(SUM(F59:F66),2)</f>
        <v>5918.33</v>
      </c>
      <c r="G58" s="37"/>
      <c r="H58" s="529"/>
      <c r="I58" s="521">
        <f t="shared" si="1"/>
        <v>0</v>
      </c>
      <c r="J58" s="521"/>
    </row>
    <row r="59" spans="1:10" ht="40.5" customHeight="1">
      <c r="A59" s="538" t="str">
        <f>'[17]MEMÓRIA DE CÁLCULO ALTERADA'!A65</f>
        <v>7.1</v>
      </c>
      <c r="B59" s="434" t="str">
        <f>'[17]MEMÓRIA DE CÁLCULO ALTERADA'!B65</f>
        <v>Tubo, pvc, soldável, DN 25mm, instalado em ramal ou sub-ramal de água - fornecimento e instalação.</v>
      </c>
      <c r="C59" s="477" t="str">
        <f>'[17]MEMÓRIA DE CÁLCULO ALTERADA'!E65</f>
        <v>m</v>
      </c>
      <c r="D59" s="546">
        <v>15.56</v>
      </c>
      <c r="E59" s="461">
        <f>I59</f>
        <v>16.14</v>
      </c>
      <c r="F59" s="56">
        <f aca="true" t="shared" si="12" ref="F59:F61">IF(D59&gt;0,ROUND(D59*E59,2),)</f>
        <v>251.14</v>
      </c>
      <c r="G59" s="57">
        <v>89356</v>
      </c>
      <c r="H59" s="529">
        <v>12.83</v>
      </c>
      <c r="I59" s="521">
        <f t="shared" si="1"/>
        <v>16.14</v>
      </c>
      <c r="J59" s="521"/>
    </row>
    <row r="60" spans="1:10" ht="33.75" customHeight="1">
      <c r="A60" s="538" t="str">
        <f>'[17]MEMÓRIA DE CÁLCULO ALTERADA'!A66</f>
        <v>7.2</v>
      </c>
      <c r="B60" s="434" t="str">
        <f>'[17]MEMÓRIA DE CÁLCULO ALTERADA'!B66</f>
        <v>BOMBA RECALQUE D'AGUA TRIFASICA 10,0 HP</v>
      </c>
      <c r="C60" s="477" t="str">
        <f>'[17]MEMÓRIA DE CÁLCULO ALTERADA'!E66</f>
        <v>und</v>
      </c>
      <c r="D60" s="546">
        <v>1</v>
      </c>
      <c r="E60" s="461">
        <f aca="true" t="shared" si="13" ref="E60:E61">I60</f>
        <v>5545.03</v>
      </c>
      <c r="F60" s="56">
        <f t="shared" si="12"/>
        <v>5545.03</v>
      </c>
      <c r="G60" s="57">
        <v>83644</v>
      </c>
      <c r="H60" s="529">
        <v>4405.72</v>
      </c>
      <c r="I60" s="521">
        <f t="shared" si="1"/>
        <v>5545.03</v>
      </c>
      <c r="J60" s="521"/>
    </row>
    <row r="61" spans="1:10" ht="25.5" customHeight="1">
      <c r="A61" s="538" t="str">
        <f>'[17]MEMÓRIA DE CÁLCULO ALTERADA'!A67</f>
        <v>7.3</v>
      </c>
      <c r="B61" s="434" t="str">
        <f>'[17]MEMÓRIA DE CÁLCULO ALTERADA'!B67</f>
        <v>Tê soldável 25 mm</v>
      </c>
      <c r="C61" s="477" t="str">
        <f>'[17]MEMÓRIA DE CÁLCULO ALTERADA'!E67</f>
        <v>und</v>
      </c>
      <c r="D61" s="546">
        <v>2</v>
      </c>
      <c r="E61" s="461">
        <f t="shared" si="13"/>
        <v>1.04</v>
      </c>
      <c r="F61" s="56">
        <f t="shared" si="12"/>
        <v>2.08</v>
      </c>
      <c r="G61" s="537">
        <v>7139</v>
      </c>
      <c r="H61" s="529">
        <v>0.83</v>
      </c>
      <c r="I61" s="521">
        <f t="shared" si="1"/>
        <v>1.04</v>
      </c>
      <c r="J61" s="521"/>
    </row>
    <row r="62" spans="1:10" ht="36.75" customHeight="1">
      <c r="A62" s="538" t="str">
        <f>'[17]MEMÓRIA DE CÁLCULO ALTERADA'!A68</f>
        <v>7.4</v>
      </c>
      <c r="B62" s="434" t="str">
        <f>'[17]MEMÓRIA DE CÁLCULO ALTERADA'!B68</f>
        <v>Joelho 45 graus, pvc, soldável, dn 25mm, instalado em prumada de água - fornecimento e instalação</v>
      </c>
      <c r="C62" s="477" t="str">
        <f>'[17]MEMÓRIA DE CÁLCULO ALTERADA'!E68</f>
        <v>und</v>
      </c>
      <c r="D62" s="546">
        <v>3</v>
      </c>
      <c r="E62" s="461">
        <f>I62</f>
        <v>3.75</v>
      </c>
      <c r="F62" s="56">
        <f>IF(D62&gt;0,ROUND(D62*E62,2),)</f>
        <v>11.25</v>
      </c>
      <c r="G62" s="537">
        <v>89485</v>
      </c>
      <c r="H62" s="529">
        <v>2.98</v>
      </c>
      <c r="I62" s="521">
        <f t="shared" si="1"/>
        <v>3.75</v>
      </c>
      <c r="J62" s="521"/>
    </row>
    <row r="63" spans="1:10" ht="29.25" customHeight="1">
      <c r="A63" s="538" t="str">
        <f>'[17]MEMÓRIA DE CÁLCULO ALTERADA'!A69</f>
        <v>7.5</v>
      </c>
      <c r="B63" s="434" t="str">
        <f>'[17]MEMÓRIA DE CÁLCULO ALTERADA'!B69</f>
        <v>Adaptador soldável curto c/ bolsa</v>
      </c>
      <c r="C63" s="477" t="str">
        <f>'[17]MEMÓRIA DE CÁLCULO ALTERADA'!E69</f>
        <v>und</v>
      </c>
      <c r="D63" s="546">
        <v>4</v>
      </c>
      <c r="E63" s="461">
        <f>I63</f>
        <v>2.95</v>
      </c>
      <c r="F63" s="56">
        <f>IF(D63&gt;0,ROUND(D63*E63,2),)</f>
        <v>11.8</v>
      </c>
      <c r="G63" s="537">
        <v>89538</v>
      </c>
      <c r="H63" s="529">
        <v>2.35</v>
      </c>
      <c r="I63" s="521">
        <f t="shared" si="1"/>
        <v>2.95</v>
      </c>
      <c r="J63" s="521"/>
    </row>
    <row r="64" spans="1:10" ht="33.75" customHeight="1">
      <c r="A64" s="538" t="str">
        <f>'[17]MEMÓRIA DE CÁLCULO ALTERADA'!A70</f>
        <v>7.6</v>
      </c>
      <c r="B64" s="434" t="str">
        <f>'[17]MEMÓRIA DE CÁLCULO ALTERADA'!B70</f>
        <v>Joelho 90 graus, pvc, soldável, dn 25mm, instalado em prumada de água- fornecimento e instalação.</v>
      </c>
      <c r="C64" s="477" t="str">
        <f>'[17]MEMÓRIA DE CÁLCULO ALTERADA'!E70</f>
        <v>und</v>
      </c>
      <c r="D64" s="546">
        <v>3</v>
      </c>
      <c r="E64" s="461">
        <f aca="true" t="shared" si="14" ref="E64:E66">I64</f>
        <v>3.25</v>
      </c>
      <c r="F64" s="56">
        <f aca="true" t="shared" si="15" ref="F64:F66">IF(D64&gt;0,ROUND(D64*E64,2),)</f>
        <v>9.75</v>
      </c>
      <c r="G64" s="537">
        <v>89481</v>
      </c>
      <c r="H64" s="529">
        <v>2.59</v>
      </c>
      <c r="I64" s="521">
        <f t="shared" si="1"/>
        <v>3.25</v>
      </c>
      <c r="J64" s="521"/>
    </row>
    <row r="65" spans="1:10" ht="38.25" customHeight="1">
      <c r="A65" s="538" t="str">
        <f>'[17]MEMÓRIA DE CÁLCULO ALTERADA'!A71</f>
        <v>7.7</v>
      </c>
      <c r="B65" s="434" t="str">
        <f>'[17]MEMÓRIA DE CÁLCULO ALTERADA'!B71</f>
        <v>Registro gaveta com acabamento e canopla cromados, simples, bitola 3/4"</v>
      </c>
      <c r="C65" s="477" t="str">
        <f>'[17]MEMÓRIA DE CÁLCULO ALTERADA'!E71</f>
        <v>und</v>
      </c>
      <c r="D65" s="546">
        <v>1</v>
      </c>
      <c r="E65" s="461">
        <f t="shared" si="14"/>
        <v>67.83</v>
      </c>
      <c r="F65" s="56">
        <f t="shared" si="15"/>
        <v>67.83</v>
      </c>
      <c r="G65" s="537">
        <v>6005</v>
      </c>
      <c r="H65" s="529">
        <v>53.9</v>
      </c>
      <c r="I65" s="521">
        <f t="shared" si="1"/>
        <v>67.83</v>
      </c>
      <c r="J65" s="521"/>
    </row>
    <row r="66" spans="1:10" ht="27" customHeight="1">
      <c r="A66" s="538" t="str">
        <f>'[17]MEMÓRIA DE CÁLCULO ALTERADA'!A72</f>
        <v>7.8</v>
      </c>
      <c r="B66" s="434" t="str">
        <f>'[17]MEMÓRIA DE CÁLCULO ALTERADA'!B72</f>
        <v>Registro de esfera 3/4"</v>
      </c>
      <c r="C66" s="477" t="str">
        <f>'[17]MEMÓRIA DE CÁLCULO ALTERADA'!E72</f>
        <v>und</v>
      </c>
      <c r="D66" s="546">
        <v>1</v>
      </c>
      <c r="E66" s="461">
        <f t="shared" si="14"/>
        <v>19.45</v>
      </c>
      <c r="F66" s="56">
        <f t="shared" si="15"/>
        <v>19.45</v>
      </c>
      <c r="G66" s="537">
        <v>90371</v>
      </c>
      <c r="H66" s="529">
        <v>15.46</v>
      </c>
      <c r="I66" s="521">
        <f t="shared" si="1"/>
        <v>19.45</v>
      </c>
      <c r="J66" s="521"/>
    </row>
    <row r="67" spans="1:10" ht="15" customHeight="1">
      <c r="A67" s="534"/>
      <c r="B67" s="535"/>
      <c r="C67" s="526"/>
      <c r="D67" s="536"/>
      <c r="E67" s="527"/>
      <c r="F67" s="536"/>
      <c r="G67" s="537"/>
      <c r="H67" s="529"/>
      <c r="I67" s="521">
        <f t="shared" si="1"/>
        <v>0</v>
      </c>
      <c r="J67" s="521"/>
    </row>
    <row r="68" spans="1:10" ht="15.75">
      <c r="A68" s="530" t="str">
        <f>'[17]MEMÓRIA DE CÁLCULO ALTERADA'!A74</f>
        <v>8.0</v>
      </c>
      <c r="B68" s="6" t="str">
        <f>'[17]MEMÓRIA DE CÁLCULO ALTERADA'!B74:E74</f>
        <v>PINTURA/REVESTIMENTO</v>
      </c>
      <c r="C68" s="7"/>
      <c r="D68" s="8"/>
      <c r="E68" s="512"/>
      <c r="F68" s="9">
        <f>ROUND(SUM(F69:F72),2)</f>
        <v>12936.64</v>
      </c>
      <c r="G68" s="37"/>
      <c r="I68" s="521">
        <f t="shared" si="1"/>
        <v>0</v>
      </c>
      <c r="J68" s="523"/>
    </row>
    <row r="69" spans="1:33" s="533" customFormat="1" ht="33" customHeight="1">
      <c r="A69" s="531" t="str">
        <f>'[17]MEMÓRIA DE CÁLCULO ALTERADA'!A75</f>
        <v>8.1</v>
      </c>
      <c r="B69" s="434" t="str">
        <f>'[17]MEMÓRIA DE CÁLCULO ALTERADA'!B75</f>
        <v>Pintura acrilica em piso cimentado duas demaos</v>
      </c>
      <c r="C69" s="437" t="str">
        <f>'[17]MEMÓRIA DE CÁLCULO ALTERADA'!E39</f>
        <v>m²</v>
      </c>
      <c r="D69" s="457">
        <v>64.34</v>
      </c>
      <c r="E69" s="461">
        <f>I69</f>
        <v>12.76</v>
      </c>
      <c r="F69" s="56">
        <f aca="true" t="shared" si="16" ref="F69:F72">IF(D69&gt;0,ROUND(D69*E69,2),)</f>
        <v>820.98</v>
      </c>
      <c r="G69" s="539" t="s">
        <v>512</v>
      </c>
      <c r="H69" s="532">
        <f>'[17]COMPOSIÇÕES DE PREÇOS UNIT. (2'!G386</f>
        <v>10.144</v>
      </c>
      <c r="I69" s="521">
        <f t="shared" si="1"/>
        <v>12.76</v>
      </c>
      <c r="J69" s="521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</row>
    <row r="70" spans="1:33" s="533" customFormat="1" ht="35.25" customHeight="1">
      <c r="A70" s="547" t="s">
        <v>68</v>
      </c>
      <c r="B70" s="434" t="str">
        <f>'[17]MEMÓRIA DE CÁLCULO ALTERADA'!B76</f>
        <v>Pintura acrilica em piso cimentado duas demaos</v>
      </c>
      <c r="C70" s="437" t="str">
        <f>'[17]MEMÓRIA DE CÁLCULO ALTERADA'!E40</f>
        <v>m²</v>
      </c>
      <c r="D70" s="457">
        <v>347.1</v>
      </c>
      <c r="E70" s="461">
        <f>I70</f>
        <v>12.76</v>
      </c>
      <c r="F70" s="56">
        <f t="shared" si="16"/>
        <v>4429</v>
      </c>
      <c r="G70" s="539" t="s">
        <v>512</v>
      </c>
      <c r="H70" s="532">
        <v>10.14</v>
      </c>
      <c r="I70" s="521">
        <f t="shared" si="1"/>
        <v>12.76</v>
      </c>
      <c r="J70" s="521"/>
      <c r="K70" s="522" t="s">
        <v>517</v>
      </c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</row>
    <row r="71" spans="1:33" s="533" customFormat="1" ht="35.25" customHeight="1">
      <c r="A71" s="547" t="s">
        <v>75</v>
      </c>
      <c r="B71" s="434" t="str">
        <f>'[17]MEMÓRIA DE CÁLCULO ALTERADA'!B77</f>
        <v>Revestimento em mármore</v>
      </c>
      <c r="C71" s="437" t="str">
        <f>'[17]MEMÓRIA DE CÁLCULO ALTERADA'!E41</f>
        <v>m²</v>
      </c>
      <c r="D71" s="457">
        <v>15.49</v>
      </c>
      <c r="E71" s="461">
        <f>I71</f>
        <v>394.05</v>
      </c>
      <c r="F71" s="56">
        <f t="shared" si="16"/>
        <v>6103.83</v>
      </c>
      <c r="G71" s="539" t="s">
        <v>512</v>
      </c>
      <c r="H71" s="532">
        <f>'[17]COMPOSIÇÕES DE PREÇOS UNIT. (2'!G127</f>
        <v>313.0846</v>
      </c>
      <c r="I71" s="521">
        <f>ROUND(H71*$I$11,2)</f>
        <v>394.05</v>
      </c>
      <c r="J71" s="521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</row>
    <row r="72" spans="1:33" s="533" customFormat="1" ht="51.75" customHeight="1">
      <c r="A72" s="547" t="s">
        <v>475</v>
      </c>
      <c r="B72" s="434" t="str">
        <f>'[17]MEMÓRIA DE CÁLCULO ALTERADA'!B78</f>
        <v>Aplicação manual de pintura com tinta texturizada acrílica em panos com presença de vãos de edifícios de múltiplos pavimentos, uma cor.</v>
      </c>
      <c r="C72" s="437" t="str">
        <f>'[17]MEMÓRIA DE CÁLCULO ALTERADA'!E42</f>
        <v>m²</v>
      </c>
      <c r="D72" s="457">
        <v>94.78</v>
      </c>
      <c r="E72" s="461">
        <f>I72</f>
        <v>16.7</v>
      </c>
      <c r="F72" s="56">
        <f t="shared" si="16"/>
        <v>1582.83</v>
      </c>
      <c r="G72" s="539">
        <v>88416</v>
      </c>
      <c r="H72" s="532">
        <v>13.27</v>
      </c>
      <c r="I72" s="521">
        <f t="shared" si="1"/>
        <v>16.7</v>
      </c>
      <c r="J72" s="521"/>
      <c r="K72" s="522"/>
      <c r="L72" s="522"/>
      <c r="M72" s="522"/>
      <c r="N72" s="522"/>
      <c r="O72" s="522"/>
      <c r="P72" s="522"/>
      <c r="Q72" s="522"/>
      <c r="R72" s="522"/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</row>
    <row r="73" spans="1:33" s="533" customFormat="1" ht="14.25" customHeight="1">
      <c r="A73" s="534"/>
      <c r="B73" s="548"/>
      <c r="C73" s="54"/>
      <c r="D73" s="457"/>
      <c r="E73" s="461"/>
      <c r="F73" s="56"/>
      <c r="G73" s="57"/>
      <c r="H73" s="532"/>
      <c r="I73" s="521">
        <f t="shared" si="1"/>
        <v>0</v>
      </c>
      <c r="J73" s="521"/>
      <c r="K73" s="522"/>
      <c r="L73" s="522"/>
      <c r="M73" s="522"/>
      <c r="N73" s="522"/>
      <c r="O73" s="522"/>
      <c r="P73" s="522"/>
      <c r="Q73" s="522"/>
      <c r="R73" s="522"/>
      <c r="S73" s="522"/>
      <c r="T73" s="522"/>
      <c r="U73" s="522"/>
      <c r="V73" s="522"/>
      <c r="W73" s="522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</row>
    <row r="74" spans="1:33" s="533" customFormat="1" ht="15.75">
      <c r="A74" s="511" t="str">
        <f>'[17]MEMÓRIA DE CÁLCULO ALTERADA'!A80</f>
        <v>9.0</v>
      </c>
      <c r="B74" s="6" t="str">
        <f>'[17]MEMÓRIA DE CÁLCULO ALTERADA'!B80:E80</f>
        <v>ARBORIZAÇÃO</v>
      </c>
      <c r="C74" s="7"/>
      <c r="D74" s="512"/>
      <c r="E74" s="512"/>
      <c r="F74" s="513">
        <f>ROUND(SUM(F75:F78),2)</f>
        <v>27548.96</v>
      </c>
      <c r="G74" s="514"/>
      <c r="H74" s="532"/>
      <c r="I74" s="521">
        <f t="shared" si="1"/>
        <v>0</v>
      </c>
      <c r="J74" s="521"/>
      <c r="K74" s="522"/>
      <c r="L74" s="522"/>
      <c r="M74" s="522"/>
      <c r="N74" s="522"/>
      <c r="O74" s="522"/>
      <c r="P74" s="522"/>
      <c r="Q74" s="522"/>
      <c r="R74" s="522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</row>
    <row r="75" spans="1:33" s="533" customFormat="1" ht="36.75" customHeight="1">
      <c r="A75" s="549" t="str">
        <f>'[17]MEMÓRIA DE CÁLCULO ALTERADA'!A81</f>
        <v>9.1</v>
      </c>
      <c r="B75" s="434" t="str">
        <f>'[17]MEMÓRIA DE CÁLCULO ALTERADA'!B81</f>
        <v>Plantio de grama esmeralda em rolo</v>
      </c>
      <c r="C75" s="437" t="str">
        <f>'[17]MEMÓRIA DE CÁLCULO ALTERADA'!E81</f>
        <v>m²</v>
      </c>
      <c r="D75" s="550">
        <v>152.12</v>
      </c>
      <c r="E75" s="436">
        <f aca="true" t="shared" si="17" ref="E75:E78">I75</f>
        <v>16.29</v>
      </c>
      <c r="F75" s="436">
        <f aca="true" t="shared" si="18" ref="F75:F78">IF(D75&gt;0,ROUND(D75*E75,2),)</f>
        <v>2478.03</v>
      </c>
      <c r="G75" s="551">
        <v>85180</v>
      </c>
      <c r="H75" s="532">
        <v>12.95</v>
      </c>
      <c r="I75" s="521">
        <f t="shared" si="1"/>
        <v>16.29</v>
      </c>
      <c r="J75" s="521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</row>
    <row r="76" spans="1:33" s="533" customFormat="1" ht="36.75" customHeight="1">
      <c r="A76" s="549" t="s">
        <v>482</v>
      </c>
      <c r="B76" s="434" t="str">
        <f>'[17]MEMÓRIA DE CÁLCULO ALTERADA'!B82</f>
        <v>Plantio de árvore, altura de 1,00m, em cavas 0,80 x 0,80 x 0,80 m</v>
      </c>
      <c r="C76" s="437" t="str">
        <f>'[17]MEMÓRIA DE CÁLCULO ALTERADA'!E82</f>
        <v>und</v>
      </c>
      <c r="D76" s="550">
        <v>6</v>
      </c>
      <c r="E76" s="436">
        <f t="shared" si="17"/>
        <v>151.19</v>
      </c>
      <c r="F76" s="436">
        <f t="shared" si="18"/>
        <v>907.14</v>
      </c>
      <c r="G76" s="551" t="s">
        <v>512</v>
      </c>
      <c r="H76" s="532">
        <f>'[17]COMPOSIÇÕES DE PREÇOS UNIT. (2'!G194</f>
        <v>120.12664999999998</v>
      </c>
      <c r="I76" s="521">
        <f t="shared" si="1"/>
        <v>151.19</v>
      </c>
      <c r="J76" s="521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</row>
    <row r="77" spans="1:33" s="533" customFormat="1" ht="36.75" customHeight="1">
      <c r="A77" s="549" t="s">
        <v>485</v>
      </c>
      <c r="B77" s="434" t="str">
        <f>'[17]MEMÓRIA DE CÁLCULO ALTERADA'!B83</f>
        <v>Plantio de árvore regional, altura maior que 2,00m, em cavas 0,80 x 0,80 x 0,80 m</v>
      </c>
      <c r="C77" s="437" t="str">
        <f>'[17]MEMÓRIA DE CÁLCULO ALTERADA'!E83</f>
        <v>und</v>
      </c>
      <c r="D77" s="550">
        <v>11</v>
      </c>
      <c r="E77" s="436">
        <f t="shared" si="17"/>
        <v>235.81</v>
      </c>
      <c r="F77" s="436">
        <f t="shared" si="18"/>
        <v>2593.91</v>
      </c>
      <c r="G77" s="551" t="s">
        <v>512</v>
      </c>
      <c r="H77" s="532">
        <f>'[17]COMPOSIÇÕES DE PREÇOS UNIT. (2'!G172</f>
        <v>187.36665000000002</v>
      </c>
      <c r="I77" s="521">
        <f aca="true" t="shared" si="19" ref="I77:I87">TRUNC(H77*$I$11,2)</f>
        <v>235.81</v>
      </c>
      <c r="J77" s="521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</row>
    <row r="78" spans="1:33" s="533" customFormat="1" ht="36.75" customHeight="1">
      <c r="A78" s="549" t="s">
        <v>487</v>
      </c>
      <c r="B78" s="434" t="str">
        <f>'[17]MEMÓRIA DE CÁLCULO ALTERADA'!B84</f>
        <v>Plantio de palmeira imperial, h = 10,00 m, em cavas de 80x80x80cm</v>
      </c>
      <c r="C78" s="437" t="str">
        <f>'[17]MEMÓRIA DE CÁLCULO ALTERADA'!E84</f>
        <v>und</v>
      </c>
      <c r="D78" s="550">
        <v>6</v>
      </c>
      <c r="E78" s="436">
        <f t="shared" si="17"/>
        <v>3594.98</v>
      </c>
      <c r="F78" s="436">
        <f t="shared" si="18"/>
        <v>21569.88</v>
      </c>
      <c r="G78" s="551" t="s">
        <v>512</v>
      </c>
      <c r="H78" s="532">
        <f>'[17]COMPOSIÇÕES DE PREÇOS UNIT. (2'!G347</f>
        <v>2856.3366499999997</v>
      </c>
      <c r="I78" s="521">
        <f t="shared" si="19"/>
        <v>3594.98</v>
      </c>
      <c r="J78" s="521"/>
      <c r="K78" s="522"/>
      <c r="L78" s="522"/>
      <c r="M78" s="522"/>
      <c r="N78" s="522"/>
      <c r="O78" s="522"/>
      <c r="P78" s="522"/>
      <c r="Q78" s="522"/>
      <c r="R78" s="522"/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</row>
    <row r="79" spans="1:33" ht="15.75">
      <c r="A79" s="552"/>
      <c r="B79" s="58"/>
      <c r="C79" s="54"/>
      <c r="D79" s="553"/>
      <c r="E79" s="461"/>
      <c r="F79" s="461"/>
      <c r="G79" s="539"/>
      <c r="H79" s="529"/>
      <c r="I79" s="521">
        <f t="shared" si="19"/>
        <v>0</v>
      </c>
      <c r="J79" s="521"/>
      <c r="K79" s="522"/>
      <c r="L79" s="522"/>
      <c r="M79" s="522"/>
      <c r="N79" s="522"/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F79" s="522"/>
      <c r="AG79" s="522"/>
    </row>
    <row r="80" spans="1:33" ht="15.75">
      <c r="A80" s="554" t="str">
        <f>'[17]MEMÓRIA DE CÁLCULO ALTERADA'!A86</f>
        <v>10.0</v>
      </c>
      <c r="B80" s="6" t="str">
        <f>'[17]MEMÓRIA DE CÁLCULO ALTERADA'!B86:E86</f>
        <v>DIVERSOS</v>
      </c>
      <c r="C80" s="7"/>
      <c r="D80" s="8"/>
      <c r="E80" s="512"/>
      <c r="F80" s="9">
        <f>ROUND(SUM(F81:F87),2)</f>
        <v>38984.4</v>
      </c>
      <c r="G80" s="555"/>
      <c r="H80" s="529"/>
      <c r="I80" s="521">
        <f t="shared" si="19"/>
        <v>0</v>
      </c>
      <c r="J80" s="521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</row>
    <row r="81" spans="1:33" ht="34.5" customHeight="1">
      <c r="A81" s="531" t="str">
        <f>'[17]MEMÓRIA DE CÁLCULO ALTERADA'!A87</f>
        <v>10.1</v>
      </c>
      <c r="B81" s="434" t="str">
        <f>'[17]MEMÓRIA DE CÁLCULO ALTERADA'!B87</f>
        <v>Rampa para acesso de deficientes em concreto simples, com pintura indicativa e sinalização tátil (NBR 9050/04)</v>
      </c>
      <c r="C81" s="437" t="str">
        <f>'[17]MEMÓRIA DE CÁLCULO ALTERADA'!E87</f>
        <v>und</v>
      </c>
      <c r="D81" s="457">
        <v>5</v>
      </c>
      <c r="E81" s="461">
        <f>I81</f>
        <v>185.08</v>
      </c>
      <c r="F81" s="56">
        <f aca="true" t="shared" si="20" ref="F81:F87">IF(D81&gt;0,ROUND(D81*E81,2),)</f>
        <v>925.4</v>
      </c>
      <c r="G81" s="551" t="s">
        <v>512</v>
      </c>
      <c r="H81" s="529">
        <f>'[17]COMPOSIÇÕES DE PREÇOS UNIT. (2'!G74</f>
        <v>147.05535</v>
      </c>
      <c r="I81" s="521">
        <f t="shared" si="19"/>
        <v>185.08</v>
      </c>
      <c r="J81" s="521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2"/>
      <c r="AC81" s="522"/>
      <c r="AD81" s="522"/>
      <c r="AE81" s="522"/>
      <c r="AF81" s="522"/>
      <c r="AG81" s="522"/>
    </row>
    <row r="82" spans="1:33" s="556" customFormat="1" ht="29.25" customHeight="1">
      <c r="A82" s="531" t="str">
        <f>'[17]MEMÓRIA DE CÁLCULO ALTERADA'!A88</f>
        <v>10.2</v>
      </c>
      <c r="B82" s="434" t="str">
        <f>'[17]MEMÓRIA DE CÁLCULO ALTERADA'!B88</f>
        <v>Lixeira individual para coleta seletiva com poste, cap. 40 litros</v>
      </c>
      <c r="C82" s="437" t="str">
        <f>'[17]MEMÓRIA DE CÁLCULO ALTERADA'!E88</f>
        <v>und</v>
      </c>
      <c r="D82" s="457">
        <v>8</v>
      </c>
      <c r="E82" s="461">
        <f>I82</f>
        <v>218.49</v>
      </c>
      <c r="F82" s="56">
        <f t="shared" si="20"/>
        <v>1747.92</v>
      </c>
      <c r="G82" s="545" t="s">
        <v>512</v>
      </c>
      <c r="H82" s="532">
        <f>'[17]COMPOSIÇÕES DE PREÇOS UNIT. (2'!G51</f>
        <v>173.604585</v>
      </c>
      <c r="I82" s="521">
        <f t="shared" si="19"/>
        <v>218.49</v>
      </c>
      <c r="J82" s="521"/>
      <c r="K82" s="522"/>
      <c r="L82" s="522"/>
      <c r="M82" s="522"/>
      <c r="N82" s="522"/>
      <c r="O82" s="522"/>
      <c r="P82" s="522"/>
      <c r="Q82" s="522"/>
      <c r="R82" s="522"/>
      <c r="S82" s="522"/>
      <c r="T82" s="522"/>
      <c r="U82" s="522"/>
      <c r="V82" s="522"/>
      <c r="W82" s="522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</row>
    <row r="83" spans="1:33" s="556" customFormat="1" ht="54" customHeight="1">
      <c r="A83" s="531" t="str">
        <f>'[17]MEMÓRIA DE CÁLCULO ALTERADA'!A89</f>
        <v>10.3</v>
      </c>
      <c r="B83" s="434" t="str">
        <f>'[17]MEMÓRIA DE CÁLCULO ALTERADA'!B89</f>
        <v xml:space="preserve">Banco em pranchão de madeira 2,0x0,50x0,04m-envernizada, confeccionado c/ tubos de aço galvanizado-rosca, d=2 1/2", pintados com epoxi e esmalte </v>
      </c>
      <c r="C83" s="437" t="str">
        <f>'[17]MEMÓRIA DE CÁLCULO ALTERADA'!E89</f>
        <v>und</v>
      </c>
      <c r="D83" s="457">
        <v>16</v>
      </c>
      <c r="E83" s="461">
        <f aca="true" t="shared" si="21" ref="E83:E87">I83</f>
        <v>908.51</v>
      </c>
      <c r="F83" s="56">
        <f t="shared" si="20"/>
        <v>14536.16</v>
      </c>
      <c r="G83" s="57" t="s">
        <v>512</v>
      </c>
      <c r="H83" s="532">
        <f>'[17]COMPOSIÇÕES DE PREÇOS UNIT. (2'!G107</f>
        <v>721.84294</v>
      </c>
      <c r="I83" s="521">
        <f t="shared" si="19"/>
        <v>908.51</v>
      </c>
      <c r="J83" s="521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22"/>
      <c r="AE83" s="522"/>
      <c r="AF83" s="522"/>
      <c r="AG83" s="522"/>
    </row>
    <row r="84" spans="1:33" s="533" customFormat="1" ht="32.25" customHeight="1">
      <c r="A84" s="531" t="str">
        <f>'[17]MEMÓRIA DE CÁLCULO ALTERADA'!A90</f>
        <v>10.4</v>
      </c>
      <c r="B84" s="434" t="str">
        <f>'[17]MEMÓRIA DE CÁLCULO ALTERADA'!B90</f>
        <v>Caramanchão</v>
      </c>
      <c r="C84" s="437" t="str">
        <f>'[17]MEMÓRIA DE CÁLCULO ALTERADA'!E90</f>
        <v>und</v>
      </c>
      <c r="D84" s="457">
        <v>2</v>
      </c>
      <c r="E84" s="461">
        <f t="shared" si="21"/>
        <v>1461.41</v>
      </c>
      <c r="F84" s="56">
        <f t="shared" si="20"/>
        <v>2922.82</v>
      </c>
      <c r="G84" s="545" t="s">
        <v>512</v>
      </c>
      <c r="H84" s="532">
        <f>'[17]COMPOSIÇÕES DE PREÇOS UNIT. (2'!G233</f>
        <v>1161.1414</v>
      </c>
      <c r="I84" s="521">
        <f t="shared" si="19"/>
        <v>1461.41</v>
      </c>
      <c r="J84" s="521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</row>
    <row r="85" spans="1:33" s="533" customFormat="1" ht="60">
      <c r="A85" s="531" t="str">
        <f>'[17]MEMÓRIA DE CÁLCULO ALTERADA'!A91</f>
        <v>10.5</v>
      </c>
      <c r="B85" s="434" t="str">
        <f>'[17]MEMÓRIA DE CÁLCULO ALTERADA'!B91</f>
        <v xml:space="preserve"> Mesa c/ tampo Ø=1,00m em concreto armado polido sobre tubo de concreto armado Ø=0,40m, e 4 bancos em concreto armado Ø=0,40m, com pintura acrílica cor cinza grafite da Coral ou similar.</v>
      </c>
      <c r="C85" s="437" t="str">
        <f>'[17]MEMÓRIA DE CÁLCULO ALTERADA'!E91</f>
        <v>und</v>
      </c>
      <c r="D85" s="457">
        <v>10</v>
      </c>
      <c r="E85" s="461">
        <f t="shared" si="21"/>
        <v>608.89</v>
      </c>
      <c r="F85" s="56">
        <f t="shared" si="20"/>
        <v>6088.9</v>
      </c>
      <c r="G85" s="57" t="s">
        <v>512</v>
      </c>
      <c r="H85" s="532">
        <f>'[17]COMPOSIÇÕES DE PREÇOS UNIT. (2'!G367</f>
        <v>483.7874</v>
      </c>
      <c r="I85" s="521">
        <f t="shared" si="19"/>
        <v>608.89</v>
      </c>
      <c r="J85" s="521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</row>
    <row r="86" spans="1:33" s="533" customFormat="1" ht="32.25" customHeight="1">
      <c r="A86" s="531" t="str">
        <f>'[17]MEMÓRIA DE CÁLCULO ALTERADA'!A92</f>
        <v>10.6</v>
      </c>
      <c r="B86" s="434" t="str">
        <f>'[17]MEMÓRIA DE CÁLCULO ALTERADA'!B92</f>
        <v>Vidro temperado incolor e=6mm - fornecimento e instalação, inclusive massa para vedação</v>
      </c>
      <c r="C86" s="437" t="str">
        <f>'[17]MEMÓRIA DE CÁLCULO ALTERADA'!E92</f>
        <v>m²</v>
      </c>
      <c r="D86" s="457">
        <v>56</v>
      </c>
      <c r="E86" s="461">
        <f t="shared" si="21"/>
        <v>170.38</v>
      </c>
      <c r="F86" s="56">
        <f t="shared" si="20"/>
        <v>9541.28</v>
      </c>
      <c r="G86" s="542">
        <v>72118</v>
      </c>
      <c r="H86" s="532">
        <v>135.38</v>
      </c>
      <c r="I86" s="521">
        <f t="shared" si="19"/>
        <v>170.38</v>
      </c>
      <c r="J86" s="521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</row>
    <row r="87" spans="1:33" s="533" customFormat="1" ht="32.25" customHeight="1">
      <c r="A87" s="531" t="str">
        <f>'[17]MEMÓRIA DE CÁLCULO ALTERADA'!A93</f>
        <v>10.7</v>
      </c>
      <c r="B87" s="434" t="str">
        <f>'[17]MEMÓRIA DE CÁLCULO ALTERADA'!B93</f>
        <v>Limpeza final da obra</v>
      </c>
      <c r="C87" s="437" t="str">
        <f>'[17]MEMÓRIA DE CÁLCULO ALTERADA'!E93</f>
        <v>m²</v>
      </c>
      <c r="D87" s="457">
        <v>1406.95</v>
      </c>
      <c r="E87" s="461">
        <f t="shared" si="21"/>
        <v>2.29</v>
      </c>
      <c r="F87" s="56">
        <f t="shared" si="20"/>
        <v>3221.92</v>
      </c>
      <c r="G87" s="542">
        <v>9537</v>
      </c>
      <c r="H87" s="532">
        <v>1.82</v>
      </c>
      <c r="I87" s="521">
        <f t="shared" si="19"/>
        <v>2.29</v>
      </c>
      <c r="J87" s="521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</row>
    <row r="88" spans="1:34" s="556" customFormat="1" ht="12.75">
      <c r="A88" s="534"/>
      <c r="B88" s="557"/>
      <c r="C88" s="526"/>
      <c r="D88" s="558"/>
      <c r="E88" s="527"/>
      <c r="F88" s="559"/>
      <c r="G88" s="560"/>
      <c r="H88" s="561"/>
      <c r="I88" s="521">
        <f aca="true" t="shared" si="22" ref="I88">ROUND(H88*$I$11,2)</f>
        <v>0</v>
      </c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  <c r="AB88" s="522"/>
      <c r="AC88" s="522"/>
      <c r="AD88" s="522"/>
      <c r="AE88" s="522"/>
      <c r="AF88" s="522"/>
      <c r="AG88" s="522"/>
      <c r="AH88" s="522"/>
    </row>
    <row r="89" spans="1:34" s="556" customFormat="1" ht="15.75">
      <c r="A89" s="562"/>
      <c r="B89" s="701" t="s">
        <v>518</v>
      </c>
      <c r="C89" s="702"/>
      <c r="D89" s="702"/>
      <c r="E89" s="702"/>
      <c r="F89" s="563">
        <f>SUM(F11,F15,F18,F22,F32,F58,F68,F74,F80,F40)</f>
        <v>247047.96</v>
      </c>
      <c r="G89" s="564"/>
      <c r="H89" s="418"/>
      <c r="I89" s="418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522"/>
    </row>
    <row r="90" spans="1:34" s="556" customFormat="1" ht="23.25" customHeight="1" thickBot="1">
      <c r="A90" s="703"/>
      <c r="B90" s="704"/>
      <c r="C90" s="704"/>
      <c r="D90" s="704"/>
      <c r="E90" s="704"/>
      <c r="F90" s="704"/>
      <c r="G90" s="705"/>
      <c r="H90" s="418"/>
      <c r="I90" s="418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522"/>
    </row>
    <row r="91" spans="1:34" s="533" customFormat="1" ht="12.75">
      <c r="A91" s="706"/>
      <c r="B91" s="706"/>
      <c r="C91" s="706"/>
      <c r="D91" s="706"/>
      <c r="E91" s="706"/>
      <c r="F91" s="706"/>
      <c r="G91" s="706"/>
      <c r="H91" s="418"/>
      <c r="I91" s="418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</row>
    <row r="92" spans="1:34" s="533" customFormat="1" ht="12.75">
      <c r="A92" s="706"/>
      <c r="B92" s="706"/>
      <c r="C92" s="706"/>
      <c r="D92" s="706"/>
      <c r="E92" s="706"/>
      <c r="F92" s="706"/>
      <c r="G92" s="706"/>
      <c r="H92" s="418"/>
      <c r="I92" s="418"/>
      <c r="J92" s="4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522"/>
    </row>
    <row r="93" spans="2:6" ht="15.75">
      <c r="B93" s="566"/>
      <c r="C93" s="567"/>
      <c r="F93" s="568">
        <v>247047.96</v>
      </c>
    </row>
    <row r="94" spans="2:4" ht="36" customHeight="1">
      <c r="B94" s="569"/>
      <c r="C94" s="567"/>
      <c r="D94" s="418">
        <v>1000000</v>
      </c>
    </row>
    <row r="96" spans="3:9" ht="12.75">
      <c r="C96" s="567"/>
      <c r="F96" s="418">
        <v>231640.61</v>
      </c>
      <c r="I96" s="418" t="e">
        <f>#REF!+#REF!+#REF!+#REF!+#REF!+#REF!+#REF!+#REF!+#REF!+#REF!+#REF!+#REF!+#REF!+#REF!</f>
        <v>#REF!</v>
      </c>
    </row>
    <row r="97" ht="12.75">
      <c r="D97" s="418">
        <f>SUM(D94-F89)</f>
        <v>752952.04</v>
      </c>
    </row>
    <row r="98" ht="12.75">
      <c r="B98" s="569"/>
    </row>
    <row r="99" ht="12.75">
      <c r="B99" s="569"/>
    </row>
    <row r="104" ht="12.75">
      <c r="G104" s="418">
        <v>5757.91</v>
      </c>
    </row>
  </sheetData>
  <mergeCells count="10">
    <mergeCell ref="B29:G29"/>
    <mergeCell ref="B89:E89"/>
    <mergeCell ref="A90:G90"/>
    <mergeCell ref="A91:G92"/>
    <mergeCell ref="A3:G3"/>
    <mergeCell ref="A4:G4"/>
    <mergeCell ref="E5:G5"/>
    <mergeCell ref="C6:E6"/>
    <mergeCell ref="A8:G8"/>
    <mergeCell ref="B23:G23"/>
  </mergeCells>
  <printOptions horizontalCentered="1"/>
  <pageMargins left="0.1968503937007874" right="0.3937007874015748" top="0.7874015748031497" bottom="0.7480314960629921" header="0.1968503937007874" footer="0.2362204724409449"/>
  <pageSetup horizontalDpi="360" verticalDpi="360" orientation="landscape" paperSize="9" scale="65" r:id="rId2"/>
  <headerFooter alignWithMargins="0">
    <oddHeader>&amp;C&amp;G</oddHeader>
    <oddFooter>&amp;CCj Chagas Soares, 57, Quadra 03, Lote 03 – Conj. Chagas Soares – Itaporanga – PB
CNPJ: 15.705.860/0001-06  Insc. Mun: 39932012   compassoempreendimentos@gmail.com
Fones: 083 9 9932-0523 // 9 9633-0828 // 9 9617-6711</oddFooter>
  </headerFooter>
  <rowBreaks count="1" manualBreakCount="1">
    <brk id="90" max="1638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  <pageSetUpPr fitToPage="1"/>
  </sheetPr>
  <dimension ref="B2:H38"/>
  <sheetViews>
    <sheetView view="pageBreakPreview" zoomScale="90" zoomScaleSheetLayoutView="90" workbookViewId="0" topLeftCell="A1">
      <selection activeCell="J13" sqref="J13"/>
    </sheetView>
  </sheetViews>
  <sheetFormatPr defaultColWidth="9.140625" defaultRowHeight="12.75"/>
  <cols>
    <col min="1" max="1" width="9.140625" style="256" customWidth="1"/>
    <col min="2" max="2" width="13.57421875" style="256" customWidth="1"/>
    <col min="3" max="3" width="59.28125" style="256" customWidth="1"/>
    <col min="4" max="4" width="9.140625" style="256" customWidth="1"/>
    <col min="5" max="5" width="14.00390625" style="256" customWidth="1"/>
    <col min="6" max="6" width="12.421875" style="256" customWidth="1"/>
    <col min="7" max="7" width="14.00390625" style="256" bestFit="1" customWidth="1"/>
    <col min="8" max="257" width="9.140625" style="256" customWidth="1"/>
    <col min="258" max="258" width="16.57421875" style="256" customWidth="1"/>
    <col min="259" max="259" width="59.28125" style="256" customWidth="1"/>
    <col min="260" max="260" width="9.140625" style="256" customWidth="1"/>
    <col min="261" max="261" width="14.00390625" style="256" customWidth="1"/>
    <col min="262" max="262" width="12.421875" style="256" customWidth="1"/>
    <col min="263" max="263" width="14.00390625" style="256" bestFit="1" customWidth="1"/>
    <col min="264" max="513" width="9.140625" style="256" customWidth="1"/>
    <col min="514" max="514" width="16.57421875" style="256" customWidth="1"/>
    <col min="515" max="515" width="59.28125" style="256" customWidth="1"/>
    <col min="516" max="516" width="9.140625" style="256" customWidth="1"/>
    <col min="517" max="517" width="14.00390625" style="256" customWidth="1"/>
    <col min="518" max="518" width="12.421875" style="256" customWidth="1"/>
    <col min="519" max="519" width="14.00390625" style="256" bestFit="1" customWidth="1"/>
    <col min="520" max="769" width="9.140625" style="256" customWidth="1"/>
    <col min="770" max="770" width="16.57421875" style="256" customWidth="1"/>
    <col min="771" max="771" width="59.28125" style="256" customWidth="1"/>
    <col min="772" max="772" width="9.140625" style="256" customWidth="1"/>
    <col min="773" max="773" width="14.00390625" style="256" customWidth="1"/>
    <col min="774" max="774" width="12.421875" style="256" customWidth="1"/>
    <col min="775" max="775" width="14.00390625" style="256" bestFit="1" customWidth="1"/>
    <col min="776" max="1025" width="9.140625" style="256" customWidth="1"/>
    <col min="1026" max="1026" width="16.57421875" style="256" customWidth="1"/>
    <col min="1027" max="1027" width="59.28125" style="256" customWidth="1"/>
    <col min="1028" max="1028" width="9.140625" style="256" customWidth="1"/>
    <col min="1029" max="1029" width="14.00390625" style="256" customWidth="1"/>
    <col min="1030" max="1030" width="12.421875" style="256" customWidth="1"/>
    <col min="1031" max="1031" width="14.00390625" style="256" bestFit="1" customWidth="1"/>
    <col min="1032" max="1281" width="9.140625" style="256" customWidth="1"/>
    <col min="1282" max="1282" width="16.57421875" style="256" customWidth="1"/>
    <col min="1283" max="1283" width="59.28125" style="256" customWidth="1"/>
    <col min="1284" max="1284" width="9.140625" style="256" customWidth="1"/>
    <col min="1285" max="1285" width="14.00390625" style="256" customWidth="1"/>
    <col min="1286" max="1286" width="12.421875" style="256" customWidth="1"/>
    <col min="1287" max="1287" width="14.00390625" style="256" bestFit="1" customWidth="1"/>
    <col min="1288" max="1537" width="9.140625" style="256" customWidth="1"/>
    <col min="1538" max="1538" width="16.57421875" style="256" customWidth="1"/>
    <col min="1539" max="1539" width="59.28125" style="256" customWidth="1"/>
    <col min="1540" max="1540" width="9.140625" style="256" customWidth="1"/>
    <col min="1541" max="1541" width="14.00390625" style="256" customWidth="1"/>
    <col min="1542" max="1542" width="12.421875" style="256" customWidth="1"/>
    <col min="1543" max="1543" width="14.00390625" style="256" bestFit="1" customWidth="1"/>
    <col min="1544" max="1793" width="9.140625" style="256" customWidth="1"/>
    <col min="1794" max="1794" width="16.57421875" style="256" customWidth="1"/>
    <col min="1795" max="1795" width="59.28125" style="256" customWidth="1"/>
    <col min="1796" max="1796" width="9.140625" style="256" customWidth="1"/>
    <col min="1797" max="1797" width="14.00390625" style="256" customWidth="1"/>
    <col min="1798" max="1798" width="12.421875" style="256" customWidth="1"/>
    <col min="1799" max="1799" width="14.00390625" style="256" bestFit="1" customWidth="1"/>
    <col min="1800" max="2049" width="9.140625" style="256" customWidth="1"/>
    <col min="2050" max="2050" width="16.57421875" style="256" customWidth="1"/>
    <col min="2051" max="2051" width="59.28125" style="256" customWidth="1"/>
    <col min="2052" max="2052" width="9.140625" style="256" customWidth="1"/>
    <col min="2053" max="2053" width="14.00390625" style="256" customWidth="1"/>
    <col min="2054" max="2054" width="12.421875" style="256" customWidth="1"/>
    <col min="2055" max="2055" width="14.00390625" style="256" bestFit="1" customWidth="1"/>
    <col min="2056" max="2305" width="9.140625" style="256" customWidth="1"/>
    <col min="2306" max="2306" width="16.57421875" style="256" customWidth="1"/>
    <col min="2307" max="2307" width="59.28125" style="256" customWidth="1"/>
    <col min="2308" max="2308" width="9.140625" style="256" customWidth="1"/>
    <col min="2309" max="2309" width="14.00390625" style="256" customWidth="1"/>
    <col min="2310" max="2310" width="12.421875" style="256" customWidth="1"/>
    <col min="2311" max="2311" width="14.00390625" style="256" bestFit="1" customWidth="1"/>
    <col min="2312" max="2561" width="9.140625" style="256" customWidth="1"/>
    <col min="2562" max="2562" width="16.57421875" style="256" customWidth="1"/>
    <col min="2563" max="2563" width="59.28125" style="256" customWidth="1"/>
    <col min="2564" max="2564" width="9.140625" style="256" customWidth="1"/>
    <col min="2565" max="2565" width="14.00390625" style="256" customWidth="1"/>
    <col min="2566" max="2566" width="12.421875" style="256" customWidth="1"/>
    <col min="2567" max="2567" width="14.00390625" style="256" bestFit="1" customWidth="1"/>
    <col min="2568" max="2817" width="9.140625" style="256" customWidth="1"/>
    <col min="2818" max="2818" width="16.57421875" style="256" customWidth="1"/>
    <col min="2819" max="2819" width="59.28125" style="256" customWidth="1"/>
    <col min="2820" max="2820" width="9.140625" style="256" customWidth="1"/>
    <col min="2821" max="2821" width="14.00390625" style="256" customWidth="1"/>
    <col min="2822" max="2822" width="12.421875" style="256" customWidth="1"/>
    <col min="2823" max="2823" width="14.00390625" style="256" bestFit="1" customWidth="1"/>
    <col min="2824" max="3073" width="9.140625" style="256" customWidth="1"/>
    <col min="3074" max="3074" width="16.57421875" style="256" customWidth="1"/>
    <col min="3075" max="3075" width="59.28125" style="256" customWidth="1"/>
    <col min="3076" max="3076" width="9.140625" style="256" customWidth="1"/>
    <col min="3077" max="3077" width="14.00390625" style="256" customWidth="1"/>
    <col min="3078" max="3078" width="12.421875" style="256" customWidth="1"/>
    <col min="3079" max="3079" width="14.00390625" style="256" bestFit="1" customWidth="1"/>
    <col min="3080" max="3329" width="9.140625" style="256" customWidth="1"/>
    <col min="3330" max="3330" width="16.57421875" style="256" customWidth="1"/>
    <col min="3331" max="3331" width="59.28125" style="256" customWidth="1"/>
    <col min="3332" max="3332" width="9.140625" style="256" customWidth="1"/>
    <col min="3333" max="3333" width="14.00390625" style="256" customWidth="1"/>
    <col min="3334" max="3334" width="12.421875" style="256" customWidth="1"/>
    <col min="3335" max="3335" width="14.00390625" style="256" bestFit="1" customWidth="1"/>
    <col min="3336" max="3585" width="9.140625" style="256" customWidth="1"/>
    <col min="3586" max="3586" width="16.57421875" style="256" customWidth="1"/>
    <col min="3587" max="3587" width="59.28125" style="256" customWidth="1"/>
    <col min="3588" max="3588" width="9.140625" style="256" customWidth="1"/>
    <col min="3589" max="3589" width="14.00390625" style="256" customWidth="1"/>
    <col min="3590" max="3590" width="12.421875" style="256" customWidth="1"/>
    <col min="3591" max="3591" width="14.00390625" style="256" bestFit="1" customWidth="1"/>
    <col min="3592" max="3841" width="9.140625" style="256" customWidth="1"/>
    <col min="3842" max="3842" width="16.57421875" style="256" customWidth="1"/>
    <col min="3843" max="3843" width="59.28125" style="256" customWidth="1"/>
    <col min="3844" max="3844" width="9.140625" style="256" customWidth="1"/>
    <col min="3845" max="3845" width="14.00390625" style="256" customWidth="1"/>
    <col min="3846" max="3846" width="12.421875" style="256" customWidth="1"/>
    <col min="3847" max="3847" width="14.00390625" style="256" bestFit="1" customWidth="1"/>
    <col min="3848" max="4097" width="9.140625" style="256" customWidth="1"/>
    <col min="4098" max="4098" width="16.57421875" style="256" customWidth="1"/>
    <col min="4099" max="4099" width="59.28125" style="256" customWidth="1"/>
    <col min="4100" max="4100" width="9.140625" style="256" customWidth="1"/>
    <col min="4101" max="4101" width="14.00390625" style="256" customWidth="1"/>
    <col min="4102" max="4102" width="12.421875" style="256" customWidth="1"/>
    <col min="4103" max="4103" width="14.00390625" style="256" bestFit="1" customWidth="1"/>
    <col min="4104" max="4353" width="9.140625" style="256" customWidth="1"/>
    <col min="4354" max="4354" width="16.57421875" style="256" customWidth="1"/>
    <col min="4355" max="4355" width="59.28125" style="256" customWidth="1"/>
    <col min="4356" max="4356" width="9.140625" style="256" customWidth="1"/>
    <col min="4357" max="4357" width="14.00390625" style="256" customWidth="1"/>
    <col min="4358" max="4358" width="12.421875" style="256" customWidth="1"/>
    <col min="4359" max="4359" width="14.00390625" style="256" bestFit="1" customWidth="1"/>
    <col min="4360" max="4609" width="9.140625" style="256" customWidth="1"/>
    <col min="4610" max="4610" width="16.57421875" style="256" customWidth="1"/>
    <col min="4611" max="4611" width="59.28125" style="256" customWidth="1"/>
    <col min="4612" max="4612" width="9.140625" style="256" customWidth="1"/>
    <col min="4613" max="4613" width="14.00390625" style="256" customWidth="1"/>
    <col min="4614" max="4614" width="12.421875" style="256" customWidth="1"/>
    <col min="4615" max="4615" width="14.00390625" style="256" bestFit="1" customWidth="1"/>
    <col min="4616" max="4865" width="9.140625" style="256" customWidth="1"/>
    <col min="4866" max="4866" width="16.57421875" style="256" customWidth="1"/>
    <col min="4867" max="4867" width="59.28125" style="256" customWidth="1"/>
    <col min="4868" max="4868" width="9.140625" style="256" customWidth="1"/>
    <col min="4869" max="4869" width="14.00390625" style="256" customWidth="1"/>
    <col min="4870" max="4870" width="12.421875" style="256" customWidth="1"/>
    <col min="4871" max="4871" width="14.00390625" style="256" bestFit="1" customWidth="1"/>
    <col min="4872" max="5121" width="9.140625" style="256" customWidth="1"/>
    <col min="5122" max="5122" width="16.57421875" style="256" customWidth="1"/>
    <col min="5123" max="5123" width="59.28125" style="256" customWidth="1"/>
    <col min="5124" max="5124" width="9.140625" style="256" customWidth="1"/>
    <col min="5125" max="5125" width="14.00390625" style="256" customWidth="1"/>
    <col min="5126" max="5126" width="12.421875" style="256" customWidth="1"/>
    <col min="5127" max="5127" width="14.00390625" style="256" bestFit="1" customWidth="1"/>
    <col min="5128" max="5377" width="9.140625" style="256" customWidth="1"/>
    <col min="5378" max="5378" width="16.57421875" style="256" customWidth="1"/>
    <col min="5379" max="5379" width="59.28125" style="256" customWidth="1"/>
    <col min="5380" max="5380" width="9.140625" style="256" customWidth="1"/>
    <col min="5381" max="5381" width="14.00390625" style="256" customWidth="1"/>
    <col min="5382" max="5382" width="12.421875" style="256" customWidth="1"/>
    <col min="5383" max="5383" width="14.00390625" style="256" bestFit="1" customWidth="1"/>
    <col min="5384" max="5633" width="9.140625" style="256" customWidth="1"/>
    <col min="5634" max="5634" width="16.57421875" style="256" customWidth="1"/>
    <col min="5635" max="5635" width="59.28125" style="256" customWidth="1"/>
    <col min="5636" max="5636" width="9.140625" style="256" customWidth="1"/>
    <col min="5637" max="5637" width="14.00390625" style="256" customWidth="1"/>
    <col min="5638" max="5638" width="12.421875" style="256" customWidth="1"/>
    <col min="5639" max="5639" width="14.00390625" style="256" bestFit="1" customWidth="1"/>
    <col min="5640" max="5889" width="9.140625" style="256" customWidth="1"/>
    <col min="5890" max="5890" width="16.57421875" style="256" customWidth="1"/>
    <col min="5891" max="5891" width="59.28125" style="256" customWidth="1"/>
    <col min="5892" max="5892" width="9.140625" style="256" customWidth="1"/>
    <col min="5893" max="5893" width="14.00390625" style="256" customWidth="1"/>
    <col min="5894" max="5894" width="12.421875" style="256" customWidth="1"/>
    <col min="5895" max="5895" width="14.00390625" style="256" bestFit="1" customWidth="1"/>
    <col min="5896" max="6145" width="9.140625" style="256" customWidth="1"/>
    <col min="6146" max="6146" width="16.57421875" style="256" customWidth="1"/>
    <col min="6147" max="6147" width="59.28125" style="256" customWidth="1"/>
    <col min="6148" max="6148" width="9.140625" style="256" customWidth="1"/>
    <col min="6149" max="6149" width="14.00390625" style="256" customWidth="1"/>
    <col min="6150" max="6150" width="12.421875" style="256" customWidth="1"/>
    <col min="6151" max="6151" width="14.00390625" style="256" bestFit="1" customWidth="1"/>
    <col min="6152" max="6401" width="9.140625" style="256" customWidth="1"/>
    <col min="6402" max="6402" width="16.57421875" style="256" customWidth="1"/>
    <col min="6403" max="6403" width="59.28125" style="256" customWidth="1"/>
    <col min="6404" max="6404" width="9.140625" style="256" customWidth="1"/>
    <col min="6405" max="6405" width="14.00390625" style="256" customWidth="1"/>
    <col min="6406" max="6406" width="12.421875" style="256" customWidth="1"/>
    <col min="6407" max="6407" width="14.00390625" style="256" bestFit="1" customWidth="1"/>
    <col min="6408" max="6657" width="9.140625" style="256" customWidth="1"/>
    <col min="6658" max="6658" width="16.57421875" style="256" customWidth="1"/>
    <col min="6659" max="6659" width="59.28125" style="256" customWidth="1"/>
    <col min="6660" max="6660" width="9.140625" style="256" customWidth="1"/>
    <col min="6661" max="6661" width="14.00390625" style="256" customWidth="1"/>
    <col min="6662" max="6662" width="12.421875" style="256" customWidth="1"/>
    <col min="6663" max="6663" width="14.00390625" style="256" bestFit="1" customWidth="1"/>
    <col min="6664" max="6913" width="9.140625" style="256" customWidth="1"/>
    <col min="6914" max="6914" width="16.57421875" style="256" customWidth="1"/>
    <col min="6915" max="6915" width="59.28125" style="256" customWidth="1"/>
    <col min="6916" max="6916" width="9.140625" style="256" customWidth="1"/>
    <col min="6917" max="6917" width="14.00390625" style="256" customWidth="1"/>
    <col min="6918" max="6918" width="12.421875" style="256" customWidth="1"/>
    <col min="6919" max="6919" width="14.00390625" style="256" bestFit="1" customWidth="1"/>
    <col min="6920" max="7169" width="9.140625" style="256" customWidth="1"/>
    <col min="7170" max="7170" width="16.57421875" style="256" customWidth="1"/>
    <col min="7171" max="7171" width="59.28125" style="256" customWidth="1"/>
    <col min="7172" max="7172" width="9.140625" style="256" customWidth="1"/>
    <col min="7173" max="7173" width="14.00390625" style="256" customWidth="1"/>
    <col min="7174" max="7174" width="12.421875" style="256" customWidth="1"/>
    <col min="7175" max="7175" width="14.00390625" style="256" bestFit="1" customWidth="1"/>
    <col min="7176" max="7425" width="9.140625" style="256" customWidth="1"/>
    <col min="7426" max="7426" width="16.57421875" style="256" customWidth="1"/>
    <col min="7427" max="7427" width="59.28125" style="256" customWidth="1"/>
    <col min="7428" max="7428" width="9.140625" style="256" customWidth="1"/>
    <col min="7429" max="7429" width="14.00390625" style="256" customWidth="1"/>
    <col min="7430" max="7430" width="12.421875" style="256" customWidth="1"/>
    <col min="7431" max="7431" width="14.00390625" style="256" bestFit="1" customWidth="1"/>
    <col min="7432" max="7681" width="9.140625" style="256" customWidth="1"/>
    <col min="7682" max="7682" width="16.57421875" style="256" customWidth="1"/>
    <col min="7683" max="7683" width="59.28125" style="256" customWidth="1"/>
    <col min="7684" max="7684" width="9.140625" style="256" customWidth="1"/>
    <col min="7685" max="7685" width="14.00390625" style="256" customWidth="1"/>
    <col min="7686" max="7686" width="12.421875" style="256" customWidth="1"/>
    <col min="7687" max="7687" width="14.00390625" style="256" bestFit="1" customWidth="1"/>
    <col min="7688" max="7937" width="9.140625" style="256" customWidth="1"/>
    <col min="7938" max="7938" width="16.57421875" style="256" customWidth="1"/>
    <col min="7939" max="7939" width="59.28125" style="256" customWidth="1"/>
    <col min="7940" max="7940" width="9.140625" style="256" customWidth="1"/>
    <col min="7941" max="7941" width="14.00390625" style="256" customWidth="1"/>
    <col min="7942" max="7942" width="12.421875" style="256" customWidth="1"/>
    <col min="7943" max="7943" width="14.00390625" style="256" bestFit="1" customWidth="1"/>
    <col min="7944" max="8193" width="9.140625" style="256" customWidth="1"/>
    <col min="8194" max="8194" width="16.57421875" style="256" customWidth="1"/>
    <col min="8195" max="8195" width="59.28125" style="256" customWidth="1"/>
    <col min="8196" max="8196" width="9.140625" style="256" customWidth="1"/>
    <col min="8197" max="8197" width="14.00390625" style="256" customWidth="1"/>
    <col min="8198" max="8198" width="12.421875" style="256" customWidth="1"/>
    <col min="8199" max="8199" width="14.00390625" style="256" bestFit="1" customWidth="1"/>
    <col min="8200" max="8449" width="9.140625" style="256" customWidth="1"/>
    <col min="8450" max="8450" width="16.57421875" style="256" customWidth="1"/>
    <col min="8451" max="8451" width="59.28125" style="256" customWidth="1"/>
    <col min="8452" max="8452" width="9.140625" style="256" customWidth="1"/>
    <col min="8453" max="8453" width="14.00390625" style="256" customWidth="1"/>
    <col min="8454" max="8454" width="12.421875" style="256" customWidth="1"/>
    <col min="8455" max="8455" width="14.00390625" style="256" bestFit="1" customWidth="1"/>
    <col min="8456" max="8705" width="9.140625" style="256" customWidth="1"/>
    <col min="8706" max="8706" width="16.57421875" style="256" customWidth="1"/>
    <col min="8707" max="8707" width="59.28125" style="256" customWidth="1"/>
    <col min="8708" max="8708" width="9.140625" style="256" customWidth="1"/>
    <col min="8709" max="8709" width="14.00390625" style="256" customWidth="1"/>
    <col min="8710" max="8710" width="12.421875" style="256" customWidth="1"/>
    <col min="8711" max="8711" width="14.00390625" style="256" bestFit="1" customWidth="1"/>
    <col min="8712" max="8961" width="9.140625" style="256" customWidth="1"/>
    <col min="8962" max="8962" width="16.57421875" style="256" customWidth="1"/>
    <col min="8963" max="8963" width="59.28125" style="256" customWidth="1"/>
    <col min="8964" max="8964" width="9.140625" style="256" customWidth="1"/>
    <col min="8965" max="8965" width="14.00390625" style="256" customWidth="1"/>
    <col min="8966" max="8966" width="12.421875" style="256" customWidth="1"/>
    <col min="8967" max="8967" width="14.00390625" style="256" bestFit="1" customWidth="1"/>
    <col min="8968" max="9217" width="9.140625" style="256" customWidth="1"/>
    <col min="9218" max="9218" width="16.57421875" style="256" customWidth="1"/>
    <col min="9219" max="9219" width="59.28125" style="256" customWidth="1"/>
    <col min="9220" max="9220" width="9.140625" style="256" customWidth="1"/>
    <col min="9221" max="9221" width="14.00390625" style="256" customWidth="1"/>
    <col min="9222" max="9222" width="12.421875" style="256" customWidth="1"/>
    <col min="9223" max="9223" width="14.00390625" style="256" bestFit="1" customWidth="1"/>
    <col min="9224" max="9473" width="9.140625" style="256" customWidth="1"/>
    <col min="9474" max="9474" width="16.57421875" style="256" customWidth="1"/>
    <col min="9475" max="9475" width="59.28125" style="256" customWidth="1"/>
    <col min="9476" max="9476" width="9.140625" style="256" customWidth="1"/>
    <col min="9477" max="9477" width="14.00390625" style="256" customWidth="1"/>
    <col min="9478" max="9478" width="12.421875" style="256" customWidth="1"/>
    <col min="9479" max="9479" width="14.00390625" style="256" bestFit="1" customWidth="1"/>
    <col min="9480" max="9729" width="9.140625" style="256" customWidth="1"/>
    <col min="9730" max="9730" width="16.57421875" style="256" customWidth="1"/>
    <col min="9731" max="9731" width="59.28125" style="256" customWidth="1"/>
    <col min="9732" max="9732" width="9.140625" style="256" customWidth="1"/>
    <col min="9733" max="9733" width="14.00390625" style="256" customWidth="1"/>
    <col min="9734" max="9734" width="12.421875" style="256" customWidth="1"/>
    <col min="9735" max="9735" width="14.00390625" style="256" bestFit="1" customWidth="1"/>
    <col min="9736" max="9985" width="9.140625" style="256" customWidth="1"/>
    <col min="9986" max="9986" width="16.57421875" style="256" customWidth="1"/>
    <col min="9987" max="9987" width="59.28125" style="256" customWidth="1"/>
    <col min="9988" max="9988" width="9.140625" style="256" customWidth="1"/>
    <col min="9989" max="9989" width="14.00390625" style="256" customWidth="1"/>
    <col min="9990" max="9990" width="12.421875" style="256" customWidth="1"/>
    <col min="9991" max="9991" width="14.00390625" style="256" bestFit="1" customWidth="1"/>
    <col min="9992" max="10241" width="9.140625" style="256" customWidth="1"/>
    <col min="10242" max="10242" width="16.57421875" style="256" customWidth="1"/>
    <col min="10243" max="10243" width="59.28125" style="256" customWidth="1"/>
    <col min="10244" max="10244" width="9.140625" style="256" customWidth="1"/>
    <col min="10245" max="10245" width="14.00390625" style="256" customWidth="1"/>
    <col min="10246" max="10246" width="12.421875" style="256" customWidth="1"/>
    <col min="10247" max="10247" width="14.00390625" style="256" bestFit="1" customWidth="1"/>
    <col min="10248" max="10497" width="9.140625" style="256" customWidth="1"/>
    <col min="10498" max="10498" width="16.57421875" style="256" customWidth="1"/>
    <col min="10499" max="10499" width="59.28125" style="256" customWidth="1"/>
    <col min="10500" max="10500" width="9.140625" style="256" customWidth="1"/>
    <col min="10501" max="10501" width="14.00390625" style="256" customWidth="1"/>
    <col min="10502" max="10502" width="12.421875" style="256" customWidth="1"/>
    <col min="10503" max="10503" width="14.00390625" style="256" bestFit="1" customWidth="1"/>
    <col min="10504" max="10753" width="9.140625" style="256" customWidth="1"/>
    <col min="10754" max="10754" width="16.57421875" style="256" customWidth="1"/>
    <col min="10755" max="10755" width="59.28125" style="256" customWidth="1"/>
    <col min="10756" max="10756" width="9.140625" style="256" customWidth="1"/>
    <col min="10757" max="10757" width="14.00390625" style="256" customWidth="1"/>
    <col min="10758" max="10758" width="12.421875" style="256" customWidth="1"/>
    <col min="10759" max="10759" width="14.00390625" style="256" bestFit="1" customWidth="1"/>
    <col min="10760" max="11009" width="9.140625" style="256" customWidth="1"/>
    <col min="11010" max="11010" width="16.57421875" style="256" customWidth="1"/>
    <col min="11011" max="11011" width="59.28125" style="256" customWidth="1"/>
    <col min="11012" max="11012" width="9.140625" style="256" customWidth="1"/>
    <col min="11013" max="11013" width="14.00390625" style="256" customWidth="1"/>
    <col min="11014" max="11014" width="12.421875" style="256" customWidth="1"/>
    <col min="11015" max="11015" width="14.00390625" style="256" bestFit="1" customWidth="1"/>
    <col min="11016" max="11265" width="9.140625" style="256" customWidth="1"/>
    <col min="11266" max="11266" width="16.57421875" style="256" customWidth="1"/>
    <col min="11267" max="11267" width="59.28125" style="256" customWidth="1"/>
    <col min="11268" max="11268" width="9.140625" style="256" customWidth="1"/>
    <col min="11269" max="11269" width="14.00390625" style="256" customWidth="1"/>
    <col min="11270" max="11270" width="12.421875" style="256" customWidth="1"/>
    <col min="11271" max="11271" width="14.00390625" style="256" bestFit="1" customWidth="1"/>
    <col min="11272" max="11521" width="9.140625" style="256" customWidth="1"/>
    <col min="11522" max="11522" width="16.57421875" style="256" customWidth="1"/>
    <col min="11523" max="11523" width="59.28125" style="256" customWidth="1"/>
    <col min="11524" max="11524" width="9.140625" style="256" customWidth="1"/>
    <col min="11525" max="11525" width="14.00390625" style="256" customWidth="1"/>
    <col min="11526" max="11526" width="12.421875" style="256" customWidth="1"/>
    <col min="11527" max="11527" width="14.00390625" style="256" bestFit="1" customWidth="1"/>
    <col min="11528" max="11777" width="9.140625" style="256" customWidth="1"/>
    <col min="11778" max="11778" width="16.57421875" style="256" customWidth="1"/>
    <col min="11779" max="11779" width="59.28125" style="256" customWidth="1"/>
    <col min="11780" max="11780" width="9.140625" style="256" customWidth="1"/>
    <col min="11781" max="11781" width="14.00390625" style="256" customWidth="1"/>
    <col min="11782" max="11782" width="12.421875" style="256" customWidth="1"/>
    <col min="11783" max="11783" width="14.00390625" style="256" bestFit="1" customWidth="1"/>
    <col min="11784" max="12033" width="9.140625" style="256" customWidth="1"/>
    <col min="12034" max="12034" width="16.57421875" style="256" customWidth="1"/>
    <col min="12035" max="12035" width="59.28125" style="256" customWidth="1"/>
    <col min="12036" max="12036" width="9.140625" style="256" customWidth="1"/>
    <col min="12037" max="12037" width="14.00390625" style="256" customWidth="1"/>
    <col min="12038" max="12038" width="12.421875" style="256" customWidth="1"/>
    <col min="12039" max="12039" width="14.00390625" style="256" bestFit="1" customWidth="1"/>
    <col min="12040" max="12289" width="9.140625" style="256" customWidth="1"/>
    <col min="12290" max="12290" width="16.57421875" style="256" customWidth="1"/>
    <col min="12291" max="12291" width="59.28125" style="256" customWidth="1"/>
    <col min="12292" max="12292" width="9.140625" style="256" customWidth="1"/>
    <col min="12293" max="12293" width="14.00390625" style="256" customWidth="1"/>
    <col min="12294" max="12294" width="12.421875" style="256" customWidth="1"/>
    <col min="12295" max="12295" width="14.00390625" style="256" bestFit="1" customWidth="1"/>
    <col min="12296" max="12545" width="9.140625" style="256" customWidth="1"/>
    <col min="12546" max="12546" width="16.57421875" style="256" customWidth="1"/>
    <col min="12547" max="12547" width="59.28125" style="256" customWidth="1"/>
    <col min="12548" max="12548" width="9.140625" style="256" customWidth="1"/>
    <col min="12549" max="12549" width="14.00390625" style="256" customWidth="1"/>
    <col min="12550" max="12550" width="12.421875" style="256" customWidth="1"/>
    <col min="12551" max="12551" width="14.00390625" style="256" bestFit="1" customWidth="1"/>
    <col min="12552" max="12801" width="9.140625" style="256" customWidth="1"/>
    <col min="12802" max="12802" width="16.57421875" style="256" customWidth="1"/>
    <col min="12803" max="12803" width="59.28125" style="256" customWidth="1"/>
    <col min="12804" max="12804" width="9.140625" style="256" customWidth="1"/>
    <col min="12805" max="12805" width="14.00390625" style="256" customWidth="1"/>
    <col min="12806" max="12806" width="12.421875" style="256" customWidth="1"/>
    <col min="12807" max="12807" width="14.00390625" style="256" bestFit="1" customWidth="1"/>
    <col min="12808" max="13057" width="9.140625" style="256" customWidth="1"/>
    <col min="13058" max="13058" width="16.57421875" style="256" customWidth="1"/>
    <col min="13059" max="13059" width="59.28125" style="256" customWidth="1"/>
    <col min="13060" max="13060" width="9.140625" style="256" customWidth="1"/>
    <col min="13061" max="13061" width="14.00390625" style="256" customWidth="1"/>
    <col min="13062" max="13062" width="12.421875" style="256" customWidth="1"/>
    <col min="13063" max="13063" width="14.00390625" style="256" bestFit="1" customWidth="1"/>
    <col min="13064" max="13313" width="9.140625" style="256" customWidth="1"/>
    <col min="13314" max="13314" width="16.57421875" style="256" customWidth="1"/>
    <col min="13315" max="13315" width="59.28125" style="256" customWidth="1"/>
    <col min="13316" max="13316" width="9.140625" style="256" customWidth="1"/>
    <col min="13317" max="13317" width="14.00390625" style="256" customWidth="1"/>
    <col min="13318" max="13318" width="12.421875" style="256" customWidth="1"/>
    <col min="13319" max="13319" width="14.00390625" style="256" bestFit="1" customWidth="1"/>
    <col min="13320" max="13569" width="9.140625" style="256" customWidth="1"/>
    <col min="13570" max="13570" width="16.57421875" style="256" customWidth="1"/>
    <col min="13571" max="13571" width="59.28125" style="256" customWidth="1"/>
    <col min="13572" max="13572" width="9.140625" style="256" customWidth="1"/>
    <col min="13573" max="13573" width="14.00390625" style="256" customWidth="1"/>
    <col min="13574" max="13574" width="12.421875" style="256" customWidth="1"/>
    <col min="13575" max="13575" width="14.00390625" style="256" bestFit="1" customWidth="1"/>
    <col min="13576" max="13825" width="9.140625" style="256" customWidth="1"/>
    <col min="13826" max="13826" width="16.57421875" style="256" customWidth="1"/>
    <col min="13827" max="13827" width="59.28125" style="256" customWidth="1"/>
    <col min="13828" max="13828" width="9.140625" style="256" customWidth="1"/>
    <col min="13829" max="13829" width="14.00390625" style="256" customWidth="1"/>
    <col min="13830" max="13830" width="12.421875" style="256" customWidth="1"/>
    <col min="13831" max="13831" width="14.00390625" style="256" bestFit="1" customWidth="1"/>
    <col min="13832" max="14081" width="9.140625" style="256" customWidth="1"/>
    <col min="14082" max="14082" width="16.57421875" style="256" customWidth="1"/>
    <col min="14083" max="14083" width="59.28125" style="256" customWidth="1"/>
    <col min="14084" max="14084" width="9.140625" style="256" customWidth="1"/>
    <col min="14085" max="14085" width="14.00390625" style="256" customWidth="1"/>
    <col min="14086" max="14086" width="12.421875" style="256" customWidth="1"/>
    <col min="14087" max="14087" width="14.00390625" style="256" bestFit="1" customWidth="1"/>
    <col min="14088" max="14337" width="9.140625" style="256" customWidth="1"/>
    <col min="14338" max="14338" width="16.57421875" style="256" customWidth="1"/>
    <col min="14339" max="14339" width="59.28125" style="256" customWidth="1"/>
    <col min="14340" max="14340" width="9.140625" style="256" customWidth="1"/>
    <col min="14341" max="14341" width="14.00390625" style="256" customWidth="1"/>
    <col min="14342" max="14342" width="12.421875" style="256" customWidth="1"/>
    <col min="14343" max="14343" width="14.00390625" style="256" bestFit="1" customWidth="1"/>
    <col min="14344" max="14593" width="9.140625" style="256" customWidth="1"/>
    <col min="14594" max="14594" width="16.57421875" style="256" customWidth="1"/>
    <col min="14595" max="14595" width="59.28125" style="256" customWidth="1"/>
    <col min="14596" max="14596" width="9.140625" style="256" customWidth="1"/>
    <col min="14597" max="14597" width="14.00390625" style="256" customWidth="1"/>
    <col min="14598" max="14598" width="12.421875" style="256" customWidth="1"/>
    <col min="14599" max="14599" width="14.00390625" style="256" bestFit="1" customWidth="1"/>
    <col min="14600" max="14849" width="9.140625" style="256" customWidth="1"/>
    <col min="14850" max="14850" width="16.57421875" style="256" customWidth="1"/>
    <col min="14851" max="14851" width="59.28125" style="256" customWidth="1"/>
    <col min="14852" max="14852" width="9.140625" style="256" customWidth="1"/>
    <col min="14853" max="14853" width="14.00390625" style="256" customWidth="1"/>
    <col min="14854" max="14854" width="12.421875" style="256" customWidth="1"/>
    <col min="14855" max="14855" width="14.00390625" style="256" bestFit="1" customWidth="1"/>
    <col min="14856" max="15105" width="9.140625" style="256" customWidth="1"/>
    <col min="15106" max="15106" width="16.57421875" style="256" customWidth="1"/>
    <col min="15107" max="15107" width="59.28125" style="256" customWidth="1"/>
    <col min="15108" max="15108" width="9.140625" style="256" customWidth="1"/>
    <col min="15109" max="15109" width="14.00390625" style="256" customWidth="1"/>
    <col min="15110" max="15110" width="12.421875" style="256" customWidth="1"/>
    <col min="15111" max="15111" width="14.00390625" style="256" bestFit="1" customWidth="1"/>
    <col min="15112" max="15361" width="9.140625" style="256" customWidth="1"/>
    <col min="15362" max="15362" width="16.57421875" style="256" customWidth="1"/>
    <col min="15363" max="15363" width="59.28125" style="256" customWidth="1"/>
    <col min="15364" max="15364" width="9.140625" style="256" customWidth="1"/>
    <col min="15365" max="15365" width="14.00390625" style="256" customWidth="1"/>
    <col min="15366" max="15366" width="12.421875" style="256" customWidth="1"/>
    <col min="15367" max="15367" width="14.00390625" style="256" bestFit="1" customWidth="1"/>
    <col min="15368" max="15617" width="9.140625" style="256" customWidth="1"/>
    <col min="15618" max="15618" width="16.57421875" style="256" customWidth="1"/>
    <col min="15619" max="15619" width="59.28125" style="256" customWidth="1"/>
    <col min="15620" max="15620" width="9.140625" style="256" customWidth="1"/>
    <col min="15621" max="15621" width="14.00390625" style="256" customWidth="1"/>
    <col min="15622" max="15622" width="12.421875" style="256" customWidth="1"/>
    <col min="15623" max="15623" width="14.00390625" style="256" bestFit="1" customWidth="1"/>
    <col min="15624" max="15873" width="9.140625" style="256" customWidth="1"/>
    <col min="15874" max="15874" width="16.57421875" style="256" customWidth="1"/>
    <col min="15875" max="15875" width="59.28125" style="256" customWidth="1"/>
    <col min="15876" max="15876" width="9.140625" style="256" customWidth="1"/>
    <col min="15877" max="15877" width="14.00390625" style="256" customWidth="1"/>
    <col min="15878" max="15878" width="12.421875" style="256" customWidth="1"/>
    <col min="15879" max="15879" width="14.00390625" style="256" bestFit="1" customWidth="1"/>
    <col min="15880" max="16129" width="9.140625" style="256" customWidth="1"/>
    <col min="16130" max="16130" width="16.57421875" style="256" customWidth="1"/>
    <col min="16131" max="16131" width="59.28125" style="256" customWidth="1"/>
    <col min="16132" max="16132" width="9.140625" style="256" customWidth="1"/>
    <col min="16133" max="16133" width="14.00390625" style="256" customWidth="1"/>
    <col min="16134" max="16134" width="12.421875" style="256" customWidth="1"/>
    <col min="16135" max="16135" width="14.00390625" style="256" bestFit="1" customWidth="1"/>
    <col min="16136" max="16384" width="9.140625" style="256" customWidth="1"/>
  </cols>
  <sheetData>
    <row r="2" spans="2:7" ht="13.5" customHeight="1">
      <c r="B2" s="269"/>
      <c r="C2" s="270"/>
      <c r="D2" s="270"/>
      <c r="E2" s="270"/>
      <c r="F2" s="270"/>
      <c r="G2" s="270"/>
    </row>
    <row r="3" spans="2:7" ht="48" customHeight="1">
      <c r="B3" s="270"/>
      <c r="C3" s="270"/>
      <c r="D3" s="270"/>
      <c r="E3" s="270"/>
      <c r="F3" s="270"/>
      <c r="G3" s="270"/>
    </row>
    <row r="4" spans="2:8" ht="18.75" customHeight="1">
      <c r="B4" s="640" t="s">
        <v>31</v>
      </c>
      <c r="C4" s="640"/>
      <c r="D4" s="640"/>
      <c r="E4" s="640"/>
      <c r="F4" s="640"/>
      <c r="G4" s="640"/>
      <c r="H4" s="640"/>
    </row>
    <row r="5" spans="2:8" ht="21" customHeight="1">
      <c r="B5" s="640" t="s">
        <v>84</v>
      </c>
      <c r="C5" s="640"/>
      <c r="D5" s="640"/>
      <c r="E5" s="640"/>
      <c r="F5" s="640"/>
      <c r="G5" s="640"/>
      <c r="H5" s="640"/>
    </row>
    <row r="6" spans="2:8" ht="15.75">
      <c r="B6" s="246"/>
      <c r="C6" s="255"/>
      <c r="D6" s="255"/>
      <c r="E6" s="20"/>
      <c r="F6" s="20"/>
      <c r="G6" s="18"/>
      <c r="H6" s="18"/>
    </row>
    <row r="7" spans="2:8" ht="15">
      <c r="B7" s="247" t="s">
        <v>42</v>
      </c>
      <c r="C7" s="624" t="s">
        <v>181</v>
      </c>
      <c r="D7" s="625"/>
      <c r="E7" s="625"/>
      <c r="F7" s="625"/>
      <c r="G7" s="625"/>
      <c r="H7" s="625"/>
    </row>
    <row r="8" spans="2:8" ht="15">
      <c r="B8" s="247" t="s">
        <v>41</v>
      </c>
      <c r="C8" s="624" t="s">
        <v>182</v>
      </c>
      <c r="D8" s="625"/>
      <c r="E8" s="625"/>
      <c r="F8" s="625"/>
      <c r="G8" s="625"/>
      <c r="H8" s="625"/>
    </row>
    <row r="9" spans="2:8" ht="27.75" customHeight="1">
      <c r="B9" s="247" t="s">
        <v>40</v>
      </c>
      <c r="C9" s="1"/>
      <c r="D9" s="734" t="s">
        <v>183</v>
      </c>
      <c r="E9" s="734"/>
      <c r="F9" s="734"/>
      <c r="G9" s="734"/>
      <c r="H9" s="281"/>
    </row>
    <row r="10" spans="2:8" ht="17.25" customHeight="1">
      <c r="B10" s="639" t="s">
        <v>201</v>
      </c>
      <c r="C10" s="639"/>
      <c r="D10" s="639"/>
      <c r="E10" s="639"/>
      <c r="F10" s="639"/>
      <c r="G10" s="639"/>
      <c r="H10" s="639"/>
    </row>
    <row r="11" spans="2:7" ht="12.75" customHeight="1">
      <c r="B11" s="267"/>
      <c r="C11" s="257"/>
      <c r="D11" s="258"/>
      <c r="E11" s="259"/>
      <c r="F11" s="258"/>
      <c r="G11" s="268"/>
    </row>
    <row r="12" spans="2:7" ht="26.25" customHeight="1" thickBot="1">
      <c r="B12" s="735" t="s">
        <v>187</v>
      </c>
      <c r="C12" s="736"/>
      <c r="D12" s="736"/>
      <c r="E12" s="736"/>
      <c r="F12" s="736"/>
      <c r="G12" s="737"/>
    </row>
    <row r="13" spans="2:7" ht="7.5" customHeight="1" thickTop="1">
      <c r="B13" s="271"/>
      <c r="C13" s="260"/>
      <c r="D13" s="260"/>
      <c r="E13" s="260"/>
      <c r="F13" s="260"/>
      <c r="G13" s="272"/>
    </row>
    <row r="14" spans="2:7" ht="13.5" thickBot="1">
      <c r="B14" s="271"/>
      <c r="C14" s="260"/>
      <c r="D14" s="260"/>
      <c r="E14" s="260"/>
      <c r="F14" s="260"/>
      <c r="G14" s="272"/>
    </row>
    <row r="15" spans="2:7" ht="18" thickBot="1" thickTop="1">
      <c r="B15" s="731" t="s">
        <v>186</v>
      </c>
      <c r="C15" s="732"/>
      <c r="D15" s="732"/>
      <c r="E15" s="732"/>
      <c r="F15" s="732"/>
      <c r="G15" s="733"/>
    </row>
    <row r="16" spans="2:7" ht="14.25" thickBot="1" thickTop="1">
      <c r="B16" s="273" t="s">
        <v>188</v>
      </c>
      <c r="C16" s="262" t="s">
        <v>189</v>
      </c>
      <c r="D16" s="261" t="s">
        <v>190</v>
      </c>
      <c r="E16" s="261" t="s">
        <v>191</v>
      </c>
      <c r="F16" s="261" t="s">
        <v>192</v>
      </c>
      <c r="G16" s="274" t="s">
        <v>149</v>
      </c>
    </row>
    <row r="17" spans="2:7" ht="13.5" thickTop="1">
      <c r="B17" s="719" t="s">
        <v>193</v>
      </c>
      <c r="C17" s="720"/>
      <c r="D17" s="720"/>
      <c r="E17" s="720"/>
      <c r="F17" s="720"/>
      <c r="G17" s="721"/>
    </row>
    <row r="18" spans="2:7" ht="12.75">
      <c r="B18" s="275" t="s">
        <v>194</v>
      </c>
      <c r="C18" s="263" t="s">
        <v>103</v>
      </c>
      <c r="D18" s="264" t="s">
        <v>102</v>
      </c>
      <c r="E18" s="265">
        <v>3.5</v>
      </c>
      <c r="F18" s="266">
        <v>7.51</v>
      </c>
      <c r="G18" s="276">
        <f>ROUND(E18*F18,2)</f>
        <v>26.29</v>
      </c>
    </row>
    <row r="19" spans="2:7" ht="12.75">
      <c r="B19" s="722" t="s">
        <v>195</v>
      </c>
      <c r="C19" s="723"/>
      <c r="D19" s="723"/>
      <c r="E19" s="723"/>
      <c r="F19" s="723"/>
      <c r="G19" s="277">
        <f>SUM(G18:G18)</f>
        <v>26.29</v>
      </c>
    </row>
    <row r="20" spans="2:7" ht="12.75">
      <c r="B20" s="724" t="s">
        <v>196</v>
      </c>
      <c r="C20" s="725"/>
      <c r="D20" s="725"/>
      <c r="E20" s="725"/>
      <c r="F20" s="725"/>
      <c r="G20" s="726"/>
    </row>
    <row r="21" spans="2:7" ht="12.75">
      <c r="B21" s="275"/>
      <c r="C21" s="263"/>
      <c r="D21" s="264"/>
      <c r="E21" s="265"/>
      <c r="F21" s="266"/>
      <c r="G21" s="276"/>
    </row>
    <row r="22" spans="2:7" ht="12.75">
      <c r="B22" s="275"/>
      <c r="C22" s="263"/>
      <c r="D22" s="264"/>
      <c r="E22" s="265"/>
      <c r="F22" s="266"/>
      <c r="G22" s="276"/>
    </row>
    <row r="23" spans="2:7" ht="13.5" thickBot="1">
      <c r="B23" s="727" t="s">
        <v>197</v>
      </c>
      <c r="C23" s="728"/>
      <c r="D23" s="728"/>
      <c r="E23" s="728"/>
      <c r="F23" s="728"/>
      <c r="G23" s="278">
        <f>SUM(G21:G22)</f>
        <v>0</v>
      </c>
    </row>
    <row r="24" spans="2:7" ht="14.25" thickBot="1" thickTop="1">
      <c r="B24" s="714"/>
      <c r="C24" s="715"/>
      <c r="D24" s="715"/>
      <c r="E24" s="715"/>
      <c r="F24" s="715"/>
      <c r="G24" s="716"/>
    </row>
    <row r="25" spans="2:7" ht="17.25" thickBot="1" thickTop="1">
      <c r="B25" s="729" t="s">
        <v>198</v>
      </c>
      <c r="C25" s="730"/>
      <c r="D25" s="730"/>
      <c r="E25" s="730"/>
      <c r="F25" s="730"/>
      <c r="G25" s="279">
        <f>SUM(G23,G19)</f>
        <v>26.29</v>
      </c>
    </row>
    <row r="26" spans="2:7" ht="14.25" thickBot="1" thickTop="1">
      <c r="B26" s="271"/>
      <c r="C26" s="260"/>
      <c r="D26" s="260"/>
      <c r="E26" s="260"/>
      <c r="F26" s="260"/>
      <c r="G26" s="272"/>
    </row>
    <row r="27" spans="2:7" ht="18" thickBot="1" thickTop="1">
      <c r="B27" s="731" t="s">
        <v>185</v>
      </c>
      <c r="C27" s="732"/>
      <c r="D27" s="732"/>
      <c r="E27" s="732"/>
      <c r="F27" s="732"/>
      <c r="G27" s="733"/>
    </row>
    <row r="28" spans="2:7" ht="14.25" thickBot="1" thickTop="1">
      <c r="B28" s="273" t="s">
        <v>188</v>
      </c>
      <c r="C28" s="262" t="s">
        <v>189</v>
      </c>
      <c r="D28" s="261" t="s">
        <v>190</v>
      </c>
      <c r="E28" s="261" t="s">
        <v>191</v>
      </c>
      <c r="F28" s="261" t="s">
        <v>192</v>
      </c>
      <c r="G28" s="274" t="s">
        <v>149</v>
      </c>
    </row>
    <row r="29" spans="2:7" ht="13.5" thickTop="1">
      <c r="B29" s="719" t="s">
        <v>193</v>
      </c>
      <c r="C29" s="720"/>
      <c r="D29" s="720"/>
      <c r="E29" s="720"/>
      <c r="F29" s="720"/>
      <c r="G29" s="721"/>
    </row>
    <row r="30" spans="2:7" ht="12.75">
      <c r="B30" s="275" t="s">
        <v>194</v>
      </c>
      <c r="C30" s="263" t="s">
        <v>103</v>
      </c>
      <c r="D30" s="264" t="s">
        <v>102</v>
      </c>
      <c r="E30" s="265">
        <v>0.34</v>
      </c>
      <c r="F30" s="266">
        <v>7.51</v>
      </c>
      <c r="G30" s="276">
        <f>ROUND(E30*F30,2)</f>
        <v>2.55</v>
      </c>
    </row>
    <row r="31" spans="2:7" ht="12.75">
      <c r="B31" s="275" t="s">
        <v>200</v>
      </c>
      <c r="C31" s="263" t="s">
        <v>199</v>
      </c>
      <c r="D31" s="264" t="s">
        <v>102</v>
      </c>
      <c r="E31" s="265">
        <v>0.32</v>
      </c>
      <c r="F31" s="266">
        <v>9.32</v>
      </c>
      <c r="G31" s="276">
        <f>ROUND(E31*F31,2)</f>
        <v>2.98</v>
      </c>
    </row>
    <row r="32" spans="2:7" ht="12.75">
      <c r="B32" s="722" t="s">
        <v>195</v>
      </c>
      <c r="C32" s="723"/>
      <c r="D32" s="723"/>
      <c r="E32" s="723"/>
      <c r="F32" s="723"/>
      <c r="G32" s="277">
        <f>SUM(G30:G31)</f>
        <v>5.529999999999999</v>
      </c>
    </row>
    <row r="33" spans="2:7" ht="12.75">
      <c r="B33" s="724" t="s">
        <v>196</v>
      </c>
      <c r="C33" s="725"/>
      <c r="D33" s="725"/>
      <c r="E33" s="725"/>
      <c r="F33" s="725"/>
      <c r="G33" s="726"/>
    </row>
    <row r="34" spans="2:7" ht="12.75">
      <c r="B34" s="275"/>
      <c r="C34" s="263"/>
      <c r="D34" s="264"/>
      <c r="E34" s="265"/>
      <c r="F34" s="266"/>
      <c r="G34" s="276"/>
    </row>
    <row r="35" spans="2:7" ht="12.75">
      <c r="B35" s="275"/>
      <c r="C35" s="263"/>
      <c r="D35" s="264"/>
      <c r="E35" s="265"/>
      <c r="F35" s="266"/>
      <c r="G35" s="276"/>
    </row>
    <row r="36" spans="2:7" ht="13.5" thickBot="1">
      <c r="B36" s="727" t="s">
        <v>197</v>
      </c>
      <c r="C36" s="728"/>
      <c r="D36" s="728"/>
      <c r="E36" s="728"/>
      <c r="F36" s="728"/>
      <c r="G36" s="278">
        <f>SUM(G34:G35)</f>
        <v>0</v>
      </c>
    </row>
    <row r="37" spans="2:7" ht="14.25" thickBot="1" thickTop="1">
      <c r="B37" s="714"/>
      <c r="C37" s="715"/>
      <c r="D37" s="715"/>
      <c r="E37" s="715"/>
      <c r="F37" s="715"/>
      <c r="G37" s="716"/>
    </row>
    <row r="38" spans="2:7" ht="16.5" thickTop="1">
      <c r="B38" s="717" t="s">
        <v>198</v>
      </c>
      <c r="C38" s="718"/>
      <c r="D38" s="718"/>
      <c r="E38" s="718"/>
      <c r="F38" s="718"/>
      <c r="G38" s="280">
        <f>SUM(G36,G32)</f>
        <v>5.529999999999999</v>
      </c>
    </row>
  </sheetData>
  <mergeCells count="21">
    <mergeCell ref="B4:H4"/>
    <mergeCell ref="B5:H5"/>
    <mergeCell ref="C7:H7"/>
    <mergeCell ref="C8:H8"/>
    <mergeCell ref="B36:F36"/>
    <mergeCell ref="B10:H10"/>
    <mergeCell ref="D9:G9"/>
    <mergeCell ref="B15:G15"/>
    <mergeCell ref="B12:G12"/>
    <mergeCell ref="B37:G37"/>
    <mergeCell ref="B38:F38"/>
    <mergeCell ref="B17:G17"/>
    <mergeCell ref="B19:F19"/>
    <mergeCell ref="B20:G20"/>
    <mergeCell ref="B23:F23"/>
    <mergeCell ref="B24:G24"/>
    <mergeCell ref="B25:F25"/>
    <mergeCell ref="B27:G27"/>
    <mergeCell ref="B29:G29"/>
    <mergeCell ref="B32:F32"/>
    <mergeCell ref="B33:G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headerFooter>
    <oddFooter>&amp;RPágina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T55"/>
  <sheetViews>
    <sheetView view="pageBreakPreview" zoomScaleSheetLayoutView="100" workbookViewId="0" topLeftCell="A1">
      <selection activeCell="K29" sqref="K29"/>
    </sheetView>
  </sheetViews>
  <sheetFormatPr defaultColWidth="9.140625" defaultRowHeight="12.75"/>
  <cols>
    <col min="1" max="1" width="9.7109375" style="33" customWidth="1"/>
    <col min="2" max="2" width="65.00390625" style="11" customWidth="1"/>
    <col min="3" max="3" width="6.00390625" style="10" customWidth="1"/>
    <col min="4" max="4" width="13.28125" style="10" customWidth="1"/>
    <col min="5" max="6" width="13.140625" style="32" customWidth="1"/>
    <col min="7" max="7" width="17.57421875" style="32" customWidth="1"/>
    <col min="8" max="8" width="17.8515625" style="32" customWidth="1"/>
    <col min="9" max="9" width="14.7109375" style="32" customWidth="1"/>
    <col min="10" max="11" width="14.7109375" style="88" customWidth="1"/>
    <col min="12" max="12" width="16.28125" style="32" customWidth="1"/>
    <col min="13" max="13" width="15.8515625" style="32" customWidth="1"/>
    <col min="14" max="14" width="9.7109375" style="4" bestFit="1" customWidth="1"/>
    <col min="15" max="15" width="12.8515625" style="4" bestFit="1" customWidth="1"/>
    <col min="16" max="17" width="9.7109375" style="4" bestFit="1" customWidth="1"/>
    <col min="18" max="16384" width="9.140625" style="4" customWidth="1"/>
  </cols>
  <sheetData>
    <row r="1" spans="1:13" ht="15">
      <c r="A1" s="12"/>
      <c r="B1" s="2"/>
      <c r="C1" s="3"/>
      <c r="D1" s="3"/>
      <c r="E1" s="13"/>
      <c r="F1" s="13"/>
      <c r="G1" s="13"/>
      <c r="H1" s="13"/>
      <c r="I1" s="14"/>
      <c r="J1" s="75"/>
      <c r="K1" s="75"/>
      <c r="L1" s="15"/>
      <c r="M1" s="15"/>
    </row>
    <row r="2" spans="1:13" ht="12.75">
      <c r="A2" s="16"/>
      <c r="B2" s="172"/>
      <c r="C2" s="171"/>
      <c r="D2" s="171"/>
      <c r="E2" s="15"/>
      <c r="F2" s="15"/>
      <c r="G2" s="15"/>
      <c r="H2" s="15"/>
      <c r="I2" s="17"/>
      <c r="J2" s="75"/>
      <c r="K2" s="75"/>
      <c r="L2" s="15"/>
      <c r="M2" s="15"/>
    </row>
    <row r="3" spans="1:13" ht="12.75">
      <c r="A3" s="16"/>
      <c r="B3" s="172"/>
      <c r="C3" s="171"/>
      <c r="D3" s="171"/>
      <c r="E3" s="15"/>
      <c r="F3" s="15"/>
      <c r="G3" s="15"/>
      <c r="H3" s="15"/>
      <c r="I3" s="17"/>
      <c r="J3" s="75"/>
      <c r="K3" s="75"/>
      <c r="L3" s="15"/>
      <c r="M3" s="15"/>
    </row>
    <row r="4" spans="1:13" ht="12.75">
      <c r="A4" s="16"/>
      <c r="B4" s="172"/>
      <c r="C4" s="171"/>
      <c r="D4" s="171"/>
      <c r="E4" s="15"/>
      <c r="F4" s="15"/>
      <c r="G4" s="15"/>
      <c r="H4" s="15"/>
      <c r="I4" s="17"/>
      <c r="J4" s="75"/>
      <c r="K4" s="75"/>
      <c r="L4" s="15"/>
      <c r="M4" s="15"/>
    </row>
    <row r="5" spans="1:13" ht="12.75">
      <c r="A5" s="16"/>
      <c r="B5" s="172"/>
      <c r="C5" s="171"/>
      <c r="D5" s="171"/>
      <c r="E5" s="15"/>
      <c r="F5" s="15"/>
      <c r="G5" s="15"/>
      <c r="H5" s="15"/>
      <c r="I5" s="17"/>
      <c r="J5" s="75"/>
      <c r="K5" s="75"/>
      <c r="L5" s="15"/>
      <c r="M5" s="15"/>
    </row>
    <row r="6" spans="1:13" ht="18">
      <c r="A6" s="684" t="s">
        <v>31</v>
      </c>
      <c r="B6" s="640"/>
      <c r="C6" s="640"/>
      <c r="D6" s="640"/>
      <c r="E6" s="640"/>
      <c r="F6" s="640"/>
      <c r="G6" s="640"/>
      <c r="H6" s="640"/>
      <c r="I6" s="685"/>
      <c r="J6" s="76"/>
      <c r="K6" s="76"/>
      <c r="L6" s="18"/>
      <c r="M6" s="18"/>
    </row>
    <row r="7" spans="1:13" ht="18">
      <c r="A7" s="684" t="s">
        <v>84</v>
      </c>
      <c r="B7" s="640"/>
      <c r="C7" s="640"/>
      <c r="D7" s="640"/>
      <c r="E7" s="640"/>
      <c r="F7" s="640"/>
      <c r="G7" s="640"/>
      <c r="H7" s="640"/>
      <c r="I7" s="685"/>
      <c r="J7" s="76"/>
      <c r="K7" s="76"/>
      <c r="L7" s="18"/>
      <c r="M7" s="18"/>
    </row>
    <row r="8" spans="1:13" ht="5.25" customHeight="1">
      <c r="A8" s="19"/>
      <c r="B8" s="169"/>
      <c r="C8" s="169"/>
      <c r="D8" s="169"/>
      <c r="E8" s="20"/>
      <c r="F8" s="20"/>
      <c r="G8" s="20"/>
      <c r="H8" s="18"/>
      <c r="I8" s="21"/>
      <c r="J8" s="77"/>
      <c r="K8" s="77"/>
      <c r="L8" s="18"/>
      <c r="M8" s="18"/>
    </row>
    <row r="9" spans="1:13" ht="12.75">
      <c r="A9" s="22" t="s">
        <v>42</v>
      </c>
      <c r="B9" s="624" t="s">
        <v>157</v>
      </c>
      <c r="C9" s="740"/>
      <c r="D9" s="740"/>
      <c r="E9" s="740"/>
      <c r="F9" s="740"/>
      <c r="G9" s="740"/>
      <c r="H9" s="740"/>
      <c r="I9" s="741"/>
      <c r="J9" s="78"/>
      <c r="K9" s="78"/>
      <c r="L9" s="23"/>
      <c r="M9" s="23"/>
    </row>
    <row r="10" spans="1:13" ht="12.75">
      <c r="A10" s="22" t="s">
        <v>41</v>
      </c>
      <c r="B10" s="624" t="s">
        <v>83</v>
      </c>
      <c r="C10" s="740"/>
      <c r="D10" s="740"/>
      <c r="E10" s="740"/>
      <c r="F10" s="740"/>
      <c r="G10" s="740"/>
      <c r="H10" s="740"/>
      <c r="I10" s="741"/>
      <c r="J10" s="78"/>
      <c r="K10" s="78"/>
      <c r="L10" s="23"/>
      <c r="M10" s="23"/>
    </row>
    <row r="11" spans="1:13" ht="12.75">
      <c r="A11" s="22" t="s">
        <v>40</v>
      </c>
      <c r="B11" s="1"/>
      <c r="C11" s="710" t="s">
        <v>156</v>
      </c>
      <c r="D11" s="710"/>
      <c r="E11" s="710"/>
      <c r="F11" s="710"/>
      <c r="G11" s="710"/>
      <c r="H11" s="710"/>
      <c r="I11" s="742"/>
      <c r="J11" s="79"/>
      <c r="K11" s="79"/>
      <c r="L11" s="23"/>
      <c r="M11" s="23"/>
    </row>
    <row r="12" spans="1:13" ht="14.25" customHeight="1">
      <c r="A12" s="738" t="s">
        <v>166</v>
      </c>
      <c r="B12" s="639"/>
      <c r="C12" s="639"/>
      <c r="D12" s="639"/>
      <c r="E12" s="639"/>
      <c r="F12" s="639"/>
      <c r="G12" s="639"/>
      <c r="H12" s="639"/>
      <c r="I12" s="739"/>
      <c r="J12" s="80"/>
      <c r="K12" s="80"/>
      <c r="L12" s="15"/>
      <c r="M12" s="15"/>
    </row>
    <row r="13" spans="1:13" ht="14.25" customHeight="1">
      <c r="A13" s="16"/>
      <c r="B13" s="172"/>
      <c r="C13" s="171"/>
      <c r="D13" s="171"/>
      <c r="E13" s="15"/>
      <c r="F13" s="15"/>
      <c r="G13" s="15"/>
      <c r="H13" s="15"/>
      <c r="I13" s="17"/>
      <c r="J13" s="75"/>
      <c r="K13" s="75"/>
      <c r="L13" s="15"/>
      <c r="M13" s="15"/>
    </row>
    <row r="14" spans="1:13" ht="15.75">
      <c r="A14" s="711" t="s">
        <v>167</v>
      </c>
      <c r="B14" s="712"/>
      <c r="C14" s="712"/>
      <c r="D14" s="712"/>
      <c r="E14" s="712"/>
      <c r="F14" s="712"/>
      <c r="G14" s="712"/>
      <c r="H14" s="712"/>
      <c r="I14" s="713"/>
      <c r="J14" s="77"/>
      <c r="K14" s="77"/>
      <c r="L14" s="18"/>
      <c r="M14" s="18"/>
    </row>
    <row r="15" spans="1:13" ht="13.5" customHeight="1">
      <c r="A15" s="168"/>
      <c r="B15" s="169"/>
      <c r="C15" s="169"/>
      <c r="D15" s="169"/>
      <c r="E15" s="169"/>
      <c r="F15" s="169"/>
      <c r="G15" s="169"/>
      <c r="H15" s="169"/>
      <c r="I15" s="170"/>
      <c r="J15" s="77"/>
      <c r="K15" s="77"/>
      <c r="L15" s="15"/>
      <c r="M15" s="15"/>
    </row>
    <row r="16" spans="1:13" ht="15" customHeight="1" thickBot="1">
      <c r="A16" s="743" t="s">
        <v>71</v>
      </c>
      <c r="B16" s="744"/>
      <c r="C16" s="5"/>
      <c r="D16" s="5"/>
      <c r="E16" s="24"/>
      <c r="F16" s="24"/>
      <c r="G16" s="24"/>
      <c r="H16" s="24"/>
      <c r="I16" s="25"/>
      <c r="J16" s="75" t="s">
        <v>72</v>
      </c>
      <c r="K16" s="174"/>
      <c r="L16" s="26" t="s">
        <v>28</v>
      </c>
      <c r="M16" s="26" t="s">
        <v>27</v>
      </c>
    </row>
    <row r="17" spans="1:16" ht="56.25" customHeight="1">
      <c r="A17" s="38" t="s">
        <v>0</v>
      </c>
      <c r="B17" s="39" t="s">
        <v>25</v>
      </c>
      <c r="C17" s="39" t="s">
        <v>1</v>
      </c>
      <c r="D17" s="173" t="s">
        <v>168</v>
      </c>
      <c r="E17" s="173" t="s">
        <v>169</v>
      </c>
      <c r="F17" s="41" t="s">
        <v>23</v>
      </c>
      <c r="G17" s="173" t="s">
        <v>170</v>
      </c>
      <c r="H17" s="173" t="s">
        <v>171</v>
      </c>
      <c r="I17" s="42" t="s">
        <v>26</v>
      </c>
      <c r="J17" s="81"/>
      <c r="K17" s="174" t="s">
        <v>172</v>
      </c>
      <c r="L17" s="29"/>
      <c r="M17" s="29">
        <v>1.25</v>
      </c>
      <c r="P17" s="71"/>
    </row>
    <row r="18" spans="1:13" ht="15.75">
      <c r="A18" s="34" t="s">
        <v>3</v>
      </c>
      <c r="B18" s="6" t="s">
        <v>21</v>
      </c>
      <c r="C18" s="7"/>
      <c r="D18" s="27"/>
      <c r="E18" s="27"/>
      <c r="F18" s="27"/>
      <c r="G18" s="28">
        <f>SUM(G19:G20)</f>
        <v>552</v>
      </c>
      <c r="H18" s="28">
        <f>SUM(H19:H20)</f>
        <v>1447.4099999999999</v>
      </c>
      <c r="I18" s="35"/>
      <c r="J18" s="74"/>
      <c r="K18" s="74"/>
      <c r="L18" s="30"/>
      <c r="M18" s="15">
        <f>TRUNC(L18*$M$17,2)</f>
        <v>0</v>
      </c>
    </row>
    <row r="19" spans="1:13" ht="15.75">
      <c r="A19" s="47" t="s">
        <v>65</v>
      </c>
      <c r="B19" s="167" t="s">
        <v>155</v>
      </c>
      <c r="C19" s="54" t="s">
        <v>106</v>
      </c>
      <c r="D19" s="50">
        <v>160</v>
      </c>
      <c r="E19" s="50">
        <v>160</v>
      </c>
      <c r="F19" s="55">
        <v>3.45</v>
      </c>
      <c r="G19" s="55">
        <f>ROUND(D19*$F19,2)</f>
        <v>552</v>
      </c>
      <c r="H19" s="55">
        <f>ROUND(E19*F19,2)</f>
        <v>552</v>
      </c>
      <c r="I19" s="52">
        <v>68051</v>
      </c>
      <c r="J19" s="74"/>
      <c r="K19" s="74"/>
      <c r="L19" s="30">
        <v>2.76</v>
      </c>
      <c r="M19" s="15">
        <f aca="true" t="shared" si="0" ref="M19:M41">TRUNC(L19*$M$17,2)</f>
        <v>3.45</v>
      </c>
    </row>
    <row r="20" spans="1:17" ht="15.75">
      <c r="A20" s="47" t="s">
        <v>154</v>
      </c>
      <c r="B20" s="48" t="s">
        <v>61</v>
      </c>
      <c r="C20" s="49" t="s">
        <v>52</v>
      </c>
      <c r="D20" s="50">
        <v>0</v>
      </c>
      <c r="E20" s="50">
        <v>4.5</v>
      </c>
      <c r="F20" s="51">
        <v>198.98</v>
      </c>
      <c r="G20" s="55">
        <f>ROUND(D20*$F20,2)</f>
        <v>0</v>
      </c>
      <c r="H20" s="55">
        <f>ROUND(E20*F20,2)</f>
        <v>895.41</v>
      </c>
      <c r="I20" s="52" t="s">
        <v>62</v>
      </c>
      <c r="J20" s="82"/>
      <c r="K20" s="82"/>
      <c r="L20" s="45">
        <v>159.19</v>
      </c>
      <c r="M20" s="15">
        <f t="shared" si="0"/>
        <v>198.98</v>
      </c>
      <c r="Q20" s="72"/>
    </row>
    <row r="21" spans="1:13" ht="15.75">
      <c r="A21" s="36" t="s">
        <v>4</v>
      </c>
      <c r="B21" s="6" t="s">
        <v>32</v>
      </c>
      <c r="C21" s="7"/>
      <c r="D21" s="7"/>
      <c r="E21" s="7"/>
      <c r="F21" s="27"/>
      <c r="G21" s="9">
        <f>SUM(G22:G22)</f>
        <v>1203.03</v>
      </c>
      <c r="H21" s="9">
        <f>SUM(H22:H22)</f>
        <v>1203.03</v>
      </c>
      <c r="I21" s="37"/>
      <c r="J21" s="83"/>
      <c r="K21" s="83"/>
      <c r="L21" s="46"/>
      <c r="M21" s="15">
        <f t="shared" si="0"/>
        <v>0</v>
      </c>
    </row>
    <row r="22" spans="1:17" ht="47.25">
      <c r="A22" s="53" t="s">
        <v>6</v>
      </c>
      <c r="B22" s="48" t="s">
        <v>59</v>
      </c>
      <c r="C22" s="54" t="s">
        <v>53</v>
      </c>
      <c r="D22" s="50">
        <v>37.28</v>
      </c>
      <c r="E22" s="50">
        <v>37.28</v>
      </c>
      <c r="F22" s="55">
        <v>32.27</v>
      </c>
      <c r="G22" s="56">
        <f>ROUND(D22*$F22,2)</f>
        <v>1203.03</v>
      </c>
      <c r="H22" s="56">
        <f>ROUND(E22*F22,2)</f>
        <v>1203.03</v>
      </c>
      <c r="I22" s="57" t="s">
        <v>60</v>
      </c>
      <c r="J22" s="84">
        <f>(45+34.7+34.7)*0.4*0.5+(45)*0.4*0.8</f>
        <v>37.28</v>
      </c>
      <c r="K22" s="84">
        <f>(45+34.7+34.7)*0.4*0.5+(45)*0.4*0.8</f>
        <v>37.28</v>
      </c>
      <c r="L22" s="46">
        <v>25.82</v>
      </c>
      <c r="M22" s="15">
        <f t="shared" si="0"/>
        <v>32.27</v>
      </c>
      <c r="Q22" s="71"/>
    </row>
    <row r="23" spans="1:15" ht="15.75">
      <c r="A23" s="36" t="s">
        <v>7</v>
      </c>
      <c r="B23" s="6" t="s">
        <v>5</v>
      </c>
      <c r="C23" s="7"/>
      <c r="D23" s="8"/>
      <c r="E23" s="8"/>
      <c r="F23" s="27"/>
      <c r="G23" s="9">
        <f>SUM(G24:G26)</f>
        <v>28107.170000000002</v>
      </c>
      <c r="H23" s="9">
        <f>SUM(H24:H26)</f>
        <v>28687.31</v>
      </c>
      <c r="I23" s="37"/>
      <c r="J23" s="83"/>
      <c r="K23" s="83"/>
      <c r="L23" s="46"/>
      <c r="M23" s="15">
        <f t="shared" si="0"/>
        <v>0</v>
      </c>
      <c r="O23" s="4">
        <v>32.27</v>
      </c>
    </row>
    <row r="24" spans="1:15" ht="47.25">
      <c r="A24" s="53" t="s">
        <v>8</v>
      </c>
      <c r="B24" s="58" t="s">
        <v>47</v>
      </c>
      <c r="C24" s="54" t="s">
        <v>53</v>
      </c>
      <c r="D24" s="50">
        <v>37.28</v>
      </c>
      <c r="E24" s="50">
        <v>37.28</v>
      </c>
      <c r="F24" s="55">
        <v>337.12</v>
      </c>
      <c r="G24" s="56">
        <f>ROUND(D24*$F24,2)</f>
        <v>12567.83</v>
      </c>
      <c r="H24" s="56">
        <f>ROUND(E24*F24,2)</f>
        <v>12567.83</v>
      </c>
      <c r="I24" s="57" t="s">
        <v>44</v>
      </c>
      <c r="J24" s="84"/>
      <c r="K24" s="84"/>
      <c r="L24" s="46">
        <v>269.7</v>
      </c>
      <c r="M24" s="15">
        <f t="shared" si="0"/>
        <v>337.12</v>
      </c>
      <c r="O24" s="73"/>
    </row>
    <row r="25" spans="1:13" ht="47.25">
      <c r="A25" s="53" t="s">
        <v>22</v>
      </c>
      <c r="B25" s="58" t="s">
        <v>48</v>
      </c>
      <c r="C25" s="54" t="s">
        <v>52</v>
      </c>
      <c r="D25" s="50">
        <v>52.32</v>
      </c>
      <c r="E25" s="50">
        <v>61.32</v>
      </c>
      <c r="F25" s="55">
        <v>64.46</v>
      </c>
      <c r="G25" s="56">
        <f aca="true" t="shared" si="1" ref="G25:G41">ROUND(D25*$F25,2)</f>
        <v>3372.55</v>
      </c>
      <c r="H25" s="56">
        <f aca="true" t="shared" si="2" ref="H25:H26">ROUND(E25*F25,2)</f>
        <v>3952.69</v>
      </c>
      <c r="I25" s="57" t="s">
        <v>58</v>
      </c>
      <c r="J25" s="84">
        <f>(45+34.7+34.7)*0.3+45*0.6</f>
        <v>61.32</v>
      </c>
      <c r="K25" s="84">
        <f>(34.7+34.7)*0.3+45*0.6+45*0.1</f>
        <v>52.32</v>
      </c>
      <c r="L25" s="46">
        <v>51.57</v>
      </c>
      <c r="M25" s="15">
        <f t="shared" si="0"/>
        <v>64.46</v>
      </c>
    </row>
    <row r="26" spans="1:13" ht="63">
      <c r="A26" s="53" t="s">
        <v>63</v>
      </c>
      <c r="B26" s="58" t="s">
        <v>163</v>
      </c>
      <c r="C26" s="59" t="s">
        <v>53</v>
      </c>
      <c r="D26" s="60">
        <v>9.29</v>
      </c>
      <c r="E26" s="60">
        <v>9.29</v>
      </c>
      <c r="F26" s="61">
        <f>Composições!F94</f>
        <v>1309.665</v>
      </c>
      <c r="G26" s="56">
        <f t="shared" si="1"/>
        <v>12166.79</v>
      </c>
      <c r="H26" s="56">
        <f t="shared" si="2"/>
        <v>12166.79</v>
      </c>
      <c r="I26" s="57" t="s">
        <v>39</v>
      </c>
      <c r="J26" s="84">
        <f>43*0.6*0.6*0.6</f>
        <v>9.288</v>
      </c>
      <c r="K26" s="84">
        <f>43*0.6*0.6*0.6</f>
        <v>9.288</v>
      </c>
      <c r="L26" s="31"/>
      <c r="M26" s="15">
        <f t="shared" si="0"/>
        <v>0</v>
      </c>
    </row>
    <row r="27" spans="1:13" ht="15.75">
      <c r="A27" s="36" t="s">
        <v>9</v>
      </c>
      <c r="B27" s="6" t="s">
        <v>33</v>
      </c>
      <c r="C27" s="7"/>
      <c r="D27" s="8"/>
      <c r="E27" s="8"/>
      <c r="F27" s="27"/>
      <c r="G27" s="9">
        <f>SUM(G28:G30)</f>
        <v>16489.47</v>
      </c>
      <c r="H27" s="9">
        <f>SUM(H28:H30)</f>
        <v>19472.25</v>
      </c>
      <c r="I27" s="37"/>
      <c r="J27" s="83"/>
      <c r="K27" s="83"/>
      <c r="L27" s="44"/>
      <c r="M27" s="15">
        <f t="shared" si="0"/>
        <v>0</v>
      </c>
    </row>
    <row r="28" spans="1:13" ht="63">
      <c r="A28" s="53" t="s">
        <v>10</v>
      </c>
      <c r="B28" s="58" t="s">
        <v>46</v>
      </c>
      <c r="C28" s="54" t="s">
        <v>53</v>
      </c>
      <c r="D28" s="50">
        <v>3.08</v>
      </c>
      <c r="E28" s="50">
        <v>4.25</v>
      </c>
      <c r="F28" s="55">
        <f>Composições!F151</f>
        <v>1529.6349999999998</v>
      </c>
      <c r="G28" s="56">
        <f t="shared" si="1"/>
        <v>4711.28</v>
      </c>
      <c r="H28" s="56">
        <f>ROUND(E28*F28,2)</f>
        <v>6500.95</v>
      </c>
      <c r="I28" s="57" t="s">
        <v>39</v>
      </c>
      <c r="J28" s="84">
        <f>27*0.2*0.2*2.25+16*0.2*0.2*2.85</f>
        <v>4.2540000000000004</v>
      </c>
      <c r="K28" s="84">
        <f>19*0.2*0.2*2.25+12*0.2*0.2*2.85</f>
        <v>3.0780000000000003</v>
      </c>
      <c r="L28" s="31"/>
      <c r="M28" s="15">
        <f t="shared" si="0"/>
        <v>0</v>
      </c>
    </row>
    <row r="29" spans="1:13" ht="63">
      <c r="A29" s="53" t="s">
        <v>29</v>
      </c>
      <c r="B29" s="62" t="s">
        <v>64</v>
      </c>
      <c r="C29" s="54" t="s">
        <v>53</v>
      </c>
      <c r="D29" s="50">
        <v>2.47</v>
      </c>
      <c r="E29" s="50">
        <v>3.25</v>
      </c>
      <c r="F29" s="55">
        <f>F28</f>
        <v>1529.6349999999998</v>
      </c>
      <c r="G29" s="56">
        <f t="shared" si="1"/>
        <v>3778.2</v>
      </c>
      <c r="H29" s="56">
        <f>ROUND(E29*F29,2)</f>
        <v>4971.31</v>
      </c>
      <c r="I29" s="57" t="s">
        <v>39</v>
      </c>
      <c r="J29" s="84">
        <f>(34.7+34.7)*0.15*0.15+45*0.15*0.25</f>
        <v>3.2489999999999997</v>
      </c>
      <c r="K29" s="84">
        <f>(34.7)*0.15*0.15+45*0.15*0.25</f>
        <v>2.46825</v>
      </c>
      <c r="L29" s="31"/>
      <c r="M29" s="15">
        <f t="shared" si="0"/>
        <v>0</v>
      </c>
    </row>
    <row r="30" spans="1:13" ht="63">
      <c r="A30" s="53" t="s">
        <v>38</v>
      </c>
      <c r="B30" s="58" t="s">
        <v>73</v>
      </c>
      <c r="C30" s="54" t="s">
        <v>53</v>
      </c>
      <c r="D30" s="50">
        <v>5.23</v>
      </c>
      <c r="E30" s="50">
        <v>5.23</v>
      </c>
      <c r="F30" s="55">
        <f>F29</f>
        <v>1529.6349999999998</v>
      </c>
      <c r="G30" s="56">
        <f t="shared" si="1"/>
        <v>7999.99</v>
      </c>
      <c r="H30" s="56">
        <f>ROUND(E30*F30,2)</f>
        <v>7999.99</v>
      </c>
      <c r="I30" s="57" t="s">
        <v>39</v>
      </c>
      <c r="J30" s="84">
        <f>(45+34.7+34.7)*0.2*0.15+45*0.2*0.2</f>
        <v>5.232</v>
      </c>
      <c r="K30" s="84">
        <f>(34.7+34.7+45)*0.2*0.15+45*0.2*0.2</f>
        <v>5.232</v>
      </c>
      <c r="L30" s="31"/>
      <c r="M30" s="15">
        <f t="shared" si="0"/>
        <v>0</v>
      </c>
    </row>
    <row r="31" spans="1:13" ht="15.75">
      <c r="A31" s="36" t="s">
        <v>11</v>
      </c>
      <c r="B31" s="6" t="s">
        <v>34</v>
      </c>
      <c r="C31" s="7"/>
      <c r="D31" s="8"/>
      <c r="E31" s="8"/>
      <c r="F31" s="27"/>
      <c r="G31" s="9">
        <f>SUM(G32:G32)</f>
        <v>6654.14</v>
      </c>
      <c r="H31" s="9">
        <f>SUM(H32:H32)</f>
        <v>9556</v>
      </c>
      <c r="I31" s="37"/>
      <c r="J31" s="83"/>
      <c r="K31" s="83"/>
      <c r="L31" s="31"/>
      <c r="M31" s="15">
        <f t="shared" si="0"/>
        <v>0</v>
      </c>
    </row>
    <row r="32" spans="1:13" s="40" customFormat="1" ht="47.25">
      <c r="A32" s="53" t="s">
        <v>12</v>
      </c>
      <c r="B32" s="58" t="s">
        <v>49</v>
      </c>
      <c r="C32" s="54" t="s">
        <v>52</v>
      </c>
      <c r="D32" s="50">
        <v>206.33</v>
      </c>
      <c r="E32" s="50">
        <v>296.31</v>
      </c>
      <c r="F32" s="55">
        <v>32.25</v>
      </c>
      <c r="G32" s="56">
        <f t="shared" si="1"/>
        <v>6654.14</v>
      </c>
      <c r="H32" s="56">
        <f>ROUND(E32*F32,2)</f>
        <v>9556</v>
      </c>
      <c r="I32" s="57" t="s">
        <v>35</v>
      </c>
      <c r="J32" s="84">
        <f>(34.7+34.7)*2.25+(45-3.5-1.8)*0.3+45*2.85</f>
        <v>296.31</v>
      </c>
      <c r="K32" s="84">
        <f>(34.7)*2.25+45*2.85</f>
        <v>206.325</v>
      </c>
      <c r="L32" s="31">
        <v>25.8</v>
      </c>
      <c r="M32" s="15">
        <f t="shared" si="0"/>
        <v>32.25</v>
      </c>
    </row>
    <row r="33" spans="1:13" ht="15.75">
      <c r="A33" s="36" t="s">
        <v>13</v>
      </c>
      <c r="B33" s="6" t="s">
        <v>18</v>
      </c>
      <c r="C33" s="7"/>
      <c r="D33" s="8"/>
      <c r="E33" s="8"/>
      <c r="F33" s="27"/>
      <c r="G33" s="9">
        <f>SUM(G34:G35)</f>
        <v>4993.1900000000005</v>
      </c>
      <c r="H33" s="9">
        <f>SUM(H34:H35)</f>
        <v>11965</v>
      </c>
      <c r="I33" s="37"/>
      <c r="J33" s="83"/>
      <c r="K33" s="83"/>
      <c r="L33" s="31"/>
      <c r="M33" s="15">
        <f t="shared" si="0"/>
        <v>0</v>
      </c>
    </row>
    <row r="34" spans="1:13" ht="31.5">
      <c r="A34" s="53" t="s">
        <v>14</v>
      </c>
      <c r="B34" s="58" t="s">
        <v>55</v>
      </c>
      <c r="C34" s="54" t="s">
        <v>52</v>
      </c>
      <c r="D34" s="50">
        <v>412.66</v>
      </c>
      <c r="E34" s="50">
        <v>592.62</v>
      </c>
      <c r="F34" s="55">
        <v>4.01</v>
      </c>
      <c r="G34" s="56">
        <f t="shared" si="1"/>
        <v>1654.77</v>
      </c>
      <c r="H34" s="56">
        <f>ROUND(E34*F34,2)</f>
        <v>2376.41</v>
      </c>
      <c r="I34" s="57" t="s">
        <v>54</v>
      </c>
      <c r="J34" s="84">
        <f>296.31*2</f>
        <v>592.62</v>
      </c>
      <c r="K34" s="84">
        <f>206.33*2</f>
        <v>412.66</v>
      </c>
      <c r="L34" s="31">
        <v>3.21</v>
      </c>
      <c r="M34" s="15">
        <f t="shared" si="0"/>
        <v>4.01</v>
      </c>
    </row>
    <row r="35" spans="1:14" ht="47.25">
      <c r="A35" s="53" t="s">
        <v>36</v>
      </c>
      <c r="B35" s="58" t="s">
        <v>50</v>
      </c>
      <c r="C35" s="54" t="s">
        <v>52</v>
      </c>
      <c r="D35" s="50">
        <f>D34*50%</f>
        <v>206.33</v>
      </c>
      <c r="E35" s="50">
        <f>E34</f>
        <v>592.62</v>
      </c>
      <c r="F35" s="55">
        <v>16.18</v>
      </c>
      <c r="G35" s="56">
        <f t="shared" si="1"/>
        <v>3338.42</v>
      </c>
      <c r="H35" s="56">
        <f>ROUND(E35*F35,2)</f>
        <v>9588.59</v>
      </c>
      <c r="I35" s="57" t="s">
        <v>45</v>
      </c>
      <c r="J35" s="84"/>
      <c r="K35" s="84"/>
      <c r="L35" s="31">
        <v>12.95</v>
      </c>
      <c r="M35" s="15">
        <f t="shared" si="0"/>
        <v>16.18</v>
      </c>
      <c r="N35" s="71" t="e">
        <f>E35-#REF!</f>
        <v>#REF!</v>
      </c>
    </row>
    <row r="36" spans="1:13" ht="15.75">
      <c r="A36" s="36" t="s">
        <v>15</v>
      </c>
      <c r="B36" s="6" t="s">
        <v>37</v>
      </c>
      <c r="C36" s="7"/>
      <c r="D36" s="8"/>
      <c r="E36" s="8"/>
      <c r="F36" s="27"/>
      <c r="G36" s="9">
        <f>SUM(G37:G38)</f>
        <v>0</v>
      </c>
      <c r="H36" s="9">
        <f>SUM(H37:H38)</f>
        <v>24025.17</v>
      </c>
      <c r="I36" s="43"/>
      <c r="J36" s="74"/>
      <c r="K36" s="74"/>
      <c r="L36" s="31"/>
      <c r="M36" s="15">
        <f t="shared" si="0"/>
        <v>0</v>
      </c>
    </row>
    <row r="37" spans="1:13" ht="32.25" customHeight="1">
      <c r="A37" s="53" t="s">
        <v>16</v>
      </c>
      <c r="B37" s="58" t="s">
        <v>164</v>
      </c>
      <c r="C37" s="54" t="s">
        <v>52</v>
      </c>
      <c r="D37" s="50">
        <v>0</v>
      </c>
      <c r="E37" s="50">
        <v>11.66</v>
      </c>
      <c r="F37" s="55">
        <v>204.68</v>
      </c>
      <c r="G37" s="56">
        <f t="shared" si="1"/>
        <v>0</v>
      </c>
      <c r="H37" s="56">
        <f>ROUND(E37*F37,2)</f>
        <v>2386.57</v>
      </c>
      <c r="I37" s="57">
        <v>68054</v>
      </c>
      <c r="J37" s="84">
        <f>3.5*2.2+1.8*2.2</f>
        <v>11.660000000000002</v>
      </c>
      <c r="K37" s="84">
        <f>3.5*2.2+1.8*2.2</f>
        <v>11.660000000000002</v>
      </c>
      <c r="L37" s="31">
        <v>163.75</v>
      </c>
      <c r="M37" s="15">
        <f t="shared" si="0"/>
        <v>204.68</v>
      </c>
    </row>
    <row r="38" spans="1:13" ht="15.75">
      <c r="A38" s="53" t="s">
        <v>30</v>
      </c>
      <c r="B38" s="58" t="s">
        <v>82</v>
      </c>
      <c r="C38" s="54" t="s">
        <v>66</v>
      </c>
      <c r="D38" s="50">
        <v>0</v>
      </c>
      <c r="E38" s="50">
        <v>75.43</v>
      </c>
      <c r="F38" s="55">
        <v>286.87</v>
      </c>
      <c r="G38" s="56">
        <f t="shared" si="1"/>
        <v>0</v>
      </c>
      <c r="H38" s="56">
        <f>ROUND(E38*F38,2)</f>
        <v>21638.6</v>
      </c>
      <c r="I38" s="57" t="s">
        <v>77</v>
      </c>
      <c r="J38" s="84">
        <f>45*1.9-(3.5*1.9+1.8*1.9)</f>
        <v>75.43</v>
      </c>
      <c r="K38" s="84">
        <f>45*1.9-(3.5*1.9+1.8*1.9)</f>
        <v>75.43</v>
      </c>
      <c r="L38" s="31">
        <v>229.5</v>
      </c>
      <c r="M38" s="15">
        <f t="shared" si="0"/>
        <v>286.87</v>
      </c>
    </row>
    <row r="39" spans="1:13" ht="15.75">
      <c r="A39" s="36" t="s">
        <v>17</v>
      </c>
      <c r="B39" s="6" t="s">
        <v>19</v>
      </c>
      <c r="C39" s="7"/>
      <c r="D39" s="8"/>
      <c r="E39" s="8"/>
      <c r="F39" s="27"/>
      <c r="G39" s="9">
        <f>SUM(G40:G41)</f>
        <v>0</v>
      </c>
      <c r="H39" s="9">
        <f>SUM(H40:H41)</f>
        <v>5539.65</v>
      </c>
      <c r="I39" s="37"/>
      <c r="J39" s="83"/>
      <c r="K39" s="83"/>
      <c r="L39" s="31"/>
      <c r="M39" s="15">
        <f t="shared" si="0"/>
        <v>0</v>
      </c>
    </row>
    <row r="40" spans="1:13" ht="15.75">
      <c r="A40" s="53" t="s">
        <v>67</v>
      </c>
      <c r="B40" s="62" t="s">
        <v>57</v>
      </c>
      <c r="C40" s="54" t="s">
        <v>52</v>
      </c>
      <c r="D40" s="50">
        <f>D35*0%</f>
        <v>0</v>
      </c>
      <c r="E40" s="50">
        <f>E35</f>
        <v>592.62</v>
      </c>
      <c r="F40" s="55">
        <v>4.36</v>
      </c>
      <c r="G40" s="56">
        <f t="shared" si="1"/>
        <v>0</v>
      </c>
      <c r="H40" s="56">
        <f>ROUND(E40*F40,2)</f>
        <v>2583.82</v>
      </c>
      <c r="I40" s="57" t="s">
        <v>56</v>
      </c>
      <c r="J40" s="84"/>
      <c r="K40" s="84"/>
      <c r="L40" s="31">
        <v>3.49</v>
      </c>
      <c r="M40" s="15">
        <f t="shared" si="0"/>
        <v>4.36</v>
      </c>
    </row>
    <row r="41" spans="1:13" ht="34.5" customHeight="1">
      <c r="A41" s="53" t="s">
        <v>68</v>
      </c>
      <c r="B41" s="58" t="s">
        <v>51</v>
      </c>
      <c r="C41" s="54" t="s">
        <v>52</v>
      </c>
      <c r="D41" s="50">
        <f>174.18*0%</f>
        <v>0</v>
      </c>
      <c r="E41" s="50">
        <v>174.18</v>
      </c>
      <c r="F41" s="55">
        <v>16.97</v>
      </c>
      <c r="G41" s="56">
        <f t="shared" si="1"/>
        <v>0</v>
      </c>
      <c r="H41" s="56">
        <f>ROUND(E41*F41,2)</f>
        <v>2955.83</v>
      </c>
      <c r="I41" s="57" t="s">
        <v>43</v>
      </c>
      <c r="J41" s="84">
        <f>(E37+E38)*2</f>
        <v>174.18</v>
      </c>
      <c r="K41" s="84">
        <f>(D37+D38)*2</f>
        <v>0</v>
      </c>
      <c r="L41" s="31">
        <v>13.58</v>
      </c>
      <c r="M41" s="15">
        <f t="shared" si="0"/>
        <v>16.97</v>
      </c>
    </row>
    <row r="42" spans="1:13" ht="34.5" customHeight="1" hidden="1">
      <c r="A42" s="36" t="s">
        <v>150</v>
      </c>
      <c r="B42" s="6" t="s">
        <v>20</v>
      </c>
      <c r="C42" s="7"/>
      <c r="D42" s="7"/>
      <c r="E42" s="8"/>
      <c r="F42" s="27"/>
      <c r="G42" s="27"/>
      <c r="H42" s="9">
        <f>SUM(H43:H45)</f>
        <v>0</v>
      </c>
      <c r="I42" s="37"/>
      <c r="J42" s="83"/>
      <c r="K42" s="83"/>
      <c r="L42" s="31"/>
      <c r="M42" s="15">
        <f aca="true" t="shared" si="3" ref="M42:M45">ROUND(L42*$M$17,2)</f>
        <v>0</v>
      </c>
    </row>
    <row r="43" spans="1:13" ht="34.5" customHeight="1" hidden="1">
      <c r="A43" s="53" t="s">
        <v>67</v>
      </c>
      <c r="B43" s="62" t="s">
        <v>79</v>
      </c>
      <c r="C43" s="54" t="s">
        <v>52</v>
      </c>
      <c r="D43" s="54"/>
      <c r="E43" s="50">
        <v>0</v>
      </c>
      <c r="F43" s="55">
        <v>33.88</v>
      </c>
      <c r="G43" s="55"/>
      <c r="H43" s="56">
        <f>ROUND(E43*F43,2)</f>
        <v>0</v>
      </c>
      <c r="I43" s="57" t="s">
        <v>78</v>
      </c>
      <c r="J43" s="84">
        <f>50*3</f>
        <v>150</v>
      </c>
      <c r="K43" s="84"/>
      <c r="L43" s="31">
        <v>26.06</v>
      </c>
      <c r="M43" s="15">
        <f t="shared" si="3"/>
        <v>32.58</v>
      </c>
    </row>
    <row r="44" spans="1:13" ht="18.75" customHeight="1" hidden="1">
      <c r="A44" s="53" t="s">
        <v>68</v>
      </c>
      <c r="B44" s="62" t="s">
        <v>74</v>
      </c>
      <c r="C44" s="54" t="s">
        <v>69</v>
      </c>
      <c r="D44" s="54"/>
      <c r="E44" s="50">
        <v>0</v>
      </c>
      <c r="F44" s="55">
        <v>185</v>
      </c>
      <c r="G44" s="55"/>
      <c r="H44" s="56">
        <f aca="true" t="shared" si="4" ref="H44:H45">ROUND(E44*F44,2)</f>
        <v>0</v>
      </c>
      <c r="I44" s="57"/>
      <c r="J44" s="84"/>
      <c r="K44" s="84"/>
      <c r="L44" s="31"/>
      <c r="M44" s="15">
        <f t="shared" si="3"/>
        <v>0</v>
      </c>
    </row>
    <row r="45" spans="1:13" ht="34.5" customHeight="1" hidden="1">
      <c r="A45" s="53" t="s">
        <v>75</v>
      </c>
      <c r="B45" s="58" t="s">
        <v>81</v>
      </c>
      <c r="C45" s="54" t="s">
        <v>70</v>
      </c>
      <c r="D45" s="54"/>
      <c r="E45" s="50">
        <v>0</v>
      </c>
      <c r="F45" s="55">
        <v>76.51</v>
      </c>
      <c r="G45" s="55"/>
      <c r="H45" s="56">
        <f t="shared" si="4"/>
        <v>0</v>
      </c>
      <c r="I45" s="57" t="s">
        <v>80</v>
      </c>
      <c r="J45" s="84"/>
      <c r="K45" s="84"/>
      <c r="L45" s="31">
        <v>58.85</v>
      </c>
      <c r="M45" s="15">
        <f t="shared" si="3"/>
        <v>73.56</v>
      </c>
    </row>
    <row r="46" spans="1:13" ht="20.25" customHeight="1" thickBot="1">
      <c r="A46" s="53"/>
      <c r="B46" s="89"/>
      <c r="C46" s="90"/>
      <c r="D46" s="90"/>
      <c r="E46" s="91"/>
      <c r="F46" s="92"/>
      <c r="G46" s="178"/>
      <c r="H46" s="183"/>
      <c r="I46" s="57"/>
      <c r="J46" s="84"/>
      <c r="K46" s="84"/>
      <c r="L46" s="31"/>
      <c r="M46" s="15"/>
    </row>
    <row r="47" spans="1:13" ht="35.25" customHeight="1" thickBot="1">
      <c r="A47" s="175"/>
      <c r="B47" s="650"/>
      <c r="C47" s="651"/>
      <c r="D47" s="651"/>
      <c r="E47" s="651"/>
      <c r="F47" s="651"/>
      <c r="G47" s="180">
        <f>G18+G21+G23+G27+G31+G33+G36+G39</f>
        <v>57999</v>
      </c>
      <c r="H47" s="184">
        <f>H18+H21+H23+H27+H31+H33+H36+H39</f>
        <v>101895.81999999999</v>
      </c>
      <c r="I47" s="182"/>
      <c r="J47" s="85"/>
      <c r="K47" s="85"/>
      <c r="L47" s="31"/>
      <c r="M47" s="15"/>
    </row>
    <row r="48" spans="1:20" ht="16.5" thickBot="1">
      <c r="A48" s="176"/>
      <c r="B48" s="650" t="s">
        <v>173</v>
      </c>
      <c r="C48" s="651"/>
      <c r="D48" s="651"/>
      <c r="E48" s="651"/>
      <c r="F48" s="651"/>
      <c r="G48" s="181" t="s">
        <v>174</v>
      </c>
      <c r="H48" s="179" t="s">
        <v>175</v>
      </c>
      <c r="I48" s="177"/>
      <c r="J48" s="86"/>
      <c r="K48" s="86"/>
      <c r="L48" s="31"/>
      <c r="M48" s="15"/>
      <c r="S48" s="31">
        <v>83.37</v>
      </c>
      <c r="T48" s="15">
        <f>ROUND(S48*$M$17,2)</f>
        <v>104.21</v>
      </c>
    </row>
    <row r="49" spans="1:20" ht="16.5" thickBot="1">
      <c r="A49" s="647"/>
      <c r="B49" s="648"/>
      <c r="C49" s="648"/>
      <c r="D49" s="648"/>
      <c r="E49" s="648"/>
      <c r="F49" s="648"/>
      <c r="G49" s="745"/>
      <c r="H49" s="745"/>
      <c r="I49" s="649"/>
      <c r="J49" s="87"/>
      <c r="K49" s="87"/>
      <c r="L49" s="31"/>
      <c r="M49" s="15"/>
      <c r="S49" s="31">
        <v>59.96</v>
      </c>
      <c r="T49" s="15">
        <f>ROUND(S49*$M$17,2)</f>
        <v>74.95</v>
      </c>
    </row>
    <row r="50" spans="2:20" ht="12.75">
      <c r="B50" s="11">
        <f>3/16*2.54</f>
        <v>0.47625</v>
      </c>
      <c r="L50" s="33"/>
      <c r="M50" s="11"/>
      <c r="N50" s="10"/>
      <c r="O50" s="32"/>
      <c r="P50" s="32"/>
      <c r="Q50" s="32"/>
      <c r="R50" s="32"/>
      <c r="S50" s="32"/>
      <c r="T50" s="32"/>
    </row>
    <row r="51" spans="12:20" ht="12.75">
      <c r="L51" s="33"/>
      <c r="M51" s="11"/>
      <c r="N51" s="10"/>
      <c r="O51" s="32"/>
      <c r="P51" s="32"/>
      <c r="Q51" s="32"/>
      <c r="R51" s="32"/>
      <c r="S51" s="32"/>
      <c r="T51" s="32"/>
    </row>
    <row r="52" spans="12:20" ht="12.75">
      <c r="L52" s="33"/>
      <c r="M52" s="11"/>
      <c r="N52" s="10"/>
      <c r="O52" s="32"/>
      <c r="P52" s="32"/>
      <c r="Q52" s="32"/>
      <c r="R52" s="32"/>
      <c r="S52" s="32"/>
      <c r="T52" s="32"/>
    </row>
    <row r="53" spans="12:20" ht="12.75">
      <c r="L53" s="33"/>
      <c r="M53" s="11"/>
      <c r="N53" s="10"/>
      <c r="O53" s="32"/>
      <c r="P53" s="32"/>
      <c r="Q53" s="32"/>
      <c r="R53" s="32"/>
      <c r="S53" s="32"/>
      <c r="T53" s="32"/>
    </row>
    <row r="54" spans="12:20" ht="12.75">
      <c r="L54" s="33"/>
      <c r="M54" s="11"/>
      <c r="N54" s="10"/>
      <c r="O54" s="32"/>
      <c r="P54" s="32"/>
      <c r="Q54" s="32"/>
      <c r="R54" s="32"/>
      <c r="S54" s="32"/>
      <c r="T54" s="32"/>
    </row>
    <row r="55" spans="12:20" ht="12.75">
      <c r="L55" s="33"/>
      <c r="M55" s="11"/>
      <c r="N55" s="10"/>
      <c r="O55" s="32"/>
      <c r="P55" s="32"/>
      <c r="Q55" s="32"/>
      <c r="R55" s="32"/>
      <c r="S55" s="32"/>
      <c r="T55" s="32"/>
    </row>
  </sheetData>
  <mergeCells count="11">
    <mergeCell ref="A14:I14"/>
    <mergeCell ref="A16:B16"/>
    <mergeCell ref="B47:F47"/>
    <mergeCell ref="A49:I49"/>
    <mergeCell ref="B48:F48"/>
    <mergeCell ref="A12:I12"/>
    <mergeCell ref="A6:I6"/>
    <mergeCell ref="A7:I7"/>
    <mergeCell ref="B9:I9"/>
    <mergeCell ref="B10:I10"/>
    <mergeCell ref="C11:I11"/>
  </mergeCells>
  <printOptions horizontalCentered="1"/>
  <pageMargins left="0.5905511811023623" right="0.5905511811023623" top="0.3937007874015748" bottom="0.9448818897637796" header="0.1968503937007874" footer="0.2362204724409449"/>
  <pageSetup fitToHeight="0" horizontalDpi="360" verticalDpi="360" orientation="landscape" paperSize="9" scale="65" r:id="rId2"/>
  <headerFooter alignWithMargins="0">
    <oddFooter>&amp;RPágina &amp;P de &amp;N</oddFooter>
  </headerFooter>
  <rowBreaks count="1" manualBreakCount="1">
    <brk id="2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Cliente Central</cp:lastModifiedBy>
  <cp:lastPrinted>2019-10-08T21:51:56Z</cp:lastPrinted>
  <dcterms:created xsi:type="dcterms:W3CDTF">1980-01-04T19:25:09Z</dcterms:created>
  <dcterms:modified xsi:type="dcterms:W3CDTF">2019-11-11T17:53:53Z</dcterms:modified>
  <cp:category/>
  <cp:version/>
  <cp:contentType/>
  <cp:contentStatus/>
</cp:coreProperties>
</file>